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defaultThemeVersion="124226"/>
  <bookViews>
    <workbookView xWindow="480" yWindow="540" windowWidth="11355" windowHeight="8280" tabRatio="865" firstSheet="14" activeTab="14"/>
  </bookViews>
  <sheets>
    <sheet name="B_S &amp; Notes 11-12" sheetId="13" state="hidden" r:id="rId1"/>
    <sheet name="BS. &amp; Notes 2012-13" sheetId="15" state="hidden" r:id="rId2"/>
    <sheet name="BS" sheetId="4" state="hidden" r:id="rId3"/>
    <sheet name="BS &amp; Notes 2014-15" sheetId="7" state="hidden" r:id="rId4"/>
    <sheet name="B_S &amp; Notes (O)" sheetId="5" state="hidden" r:id="rId5"/>
    <sheet name="BS &amp; Notes 2013-14" sheetId="17" state="hidden" r:id="rId6"/>
    <sheet name="BS (I GAAP)" sheetId="9" state="hidden" r:id="rId7"/>
    <sheet name="BS &amp; Notes 2010-11" sheetId="6" state="hidden" r:id="rId8"/>
    <sheet name="RESERVE &amp; SURPLUS MILLIION" sheetId="10" state="hidden" r:id="rId9"/>
    <sheet name="cash flow statement" sheetId="11" state="hidden" r:id="rId10"/>
    <sheet name="Assets" sheetId="1" state="hidden" r:id="rId11"/>
    <sheet name="PRP &amp; PRMBS" sheetId="19" state="hidden" r:id="rId12"/>
    <sheet name="Sheet1" sheetId="20" state="hidden" r:id="rId13"/>
    <sheet name="points" sheetId="25" state="hidden" r:id="rId14"/>
    <sheet name="Transition BS" sheetId="28" r:id="rId15"/>
    <sheet name="PPE" sheetId="31" r:id="rId16"/>
    <sheet name="Notes" sheetId="8" r:id="rId17"/>
    <sheet name="Changes in Equity" sheetId="30" r:id="rId18"/>
    <sheet name="FA Schedule I GAAP" sheetId="24" state="hidden" r:id="rId19"/>
    <sheet name="Assets (2)" sheetId="23" state="hidden" r:id="rId20"/>
    <sheet name="Sheet2" sheetId="26" state="hidden" r:id="rId21"/>
    <sheet name="Investment prop" sheetId="27" state="hidden" r:id="rId22"/>
  </sheets>
  <definedNames>
    <definedName name="_GoBack" localSheetId="16">Notes!#REF!</definedName>
    <definedName name="_xlnm.Print_Area" localSheetId="4">'B_S &amp; Notes (O)'!$A$1:$J$882</definedName>
    <definedName name="_xlnm.Print_Area" localSheetId="0">'B_S &amp; Notes 11-12'!$A$1:$J$1213</definedName>
    <definedName name="_xlnm.Print_Area" localSheetId="17">'Changes in Equity'!$A$1:$R$23</definedName>
    <definedName name="_xlnm.Print_Area" localSheetId="18">'FA Schedule I GAAP'!$A$1:$O$60</definedName>
    <definedName name="_xlnm.Print_Area" localSheetId="16">Notes!$A$1:$E$746</definedName>
    <definedName name="_xlnm.Print_Area" localSheetId="13">points!$A$1:$C$19</definedName>
    <definedName name="_xlnm.Print_Area" localSheetId="15">PPE!$A$1:$F$120</definedName>
    <definedName name="_xlnm.Print_Area" localSheetId="14">'Transition BS'!$A$1:$H$68</definedName>
    <definedName name="_xlnm.Print_Titles" localSheetId="7">'BS &amp; Notes 2010-11'!$B:$B</definedName>
    <definedName name="_xlnm.Print_Titles" localSheetId="5">'BS &amp; Notes 2013-14'!$B:$B</definedName>
    <definedName name="_xlnm.Print_Titles" localSheetId="3">'BS &amp; Notes 2014-15'!$B:$B</definedName>
    <definedName name="_xlnm.Print_Titles" localSheetId="1">'BS. &amp; Notes 2012-13'!$B:$B</definedName>
  </definedNames>
  <calcPr calcId="144525"/>
</workbook>
</file>

<file path=xl/calcChain.xml><?xml version="1.0" encoding="utf-8"?>
<calcChain xmlns="http://schemas.openxmlformats.org/spreadsheetml/2006/main">
  <c r="C31" i="28" l="1"/>
  <c r="C417" i="8"/>
  <c r="C542" i="8" l="1"/>
  <c r="E173" i="8"/>
  <c r="E162" i="8"/>
  <c r="E413" i="8"/>
  <c r="E410" i="8"/>
  <c r="E91" i="8"/>
  <c r="D599" i="8" l="1"/>
  <c r="C599" i="8"/>
  <c r="E597" i="8"/>
  <c r="D678" i="8"/>
  <c r="C678" i="8"/>
  <c r="E674" i="8"/>
  <c r="E673" i="8"/>
  <c r="E721" i="8"/>
  <c r="D720" i="8"/>
  <c r="D724" i="8" s="1"/>
  <c r="E722" i="8"/>
  <c r="E705" i="8"/>
  <c r="E704" i="8"/>
  <c r="E703" i="8"/>
  <c r="E702" i="8"/>
  <c r="E701" i="8"/>
  <c r="E711" i="8"/>
  <c r="E710" i="8"/>
  <c r="E709" i="8"/>
  <c r="E708" i="8"/>
  <c r="E707" i="8"/>
  <c r="E719" i="8"/>
  <c r="E718" i="8"/>
  <c r="E717" i="8"/>
  <c r="E716" i="8"/>
  <c r="E715" i="8"/>
  <c r="E714" i="8"/>
  <c r="E713" i="8"/>
  <c r="C720" i="8"/>
  <c r="E697" i="8"/>
  <c r="E698" i="8"/>
  <c r="E699" i="8"/>
  <c r="E645" i="8"/>
  <c r="D645" i="8"/>
  <c r="C645" i="8"/>
  <c r="E690" i="8"/>
  <c r="E688" i="8"/>
  <c r="E689" i="8"/>
  <c r="E712" i="8"/>
  <c r="E696" i="8"/>
  <c r="E695" i="8"/>
  <c r="E694" i="8"/>
  <c r="E693" i="8"/>
  <c r="E692" i="8"/>
  <c r="E687" i="8"/>
  <c r="E686" i="8"/>
  <c r="D743" i="8"/>
  <c r="C743" i="8"/>
  <c r="D738" i="8"/>
  <c r="C738" i="8"/>
  <c r="E737" i="8"/>
  <c r="E651" i="8"/>
  <c r="D627" i="8"/>
  <c r="C627" i="8"/>
  <c r="E626" i="8"/>
  <c r="E625" i="8"/>
  <c r="E624" i="8"/>
  <c r="E623" i="8"/>
  <c r="E622" i="8"/>
  <c r="E621" i="8"/>
  <c r="E620" i="8"/>
  <c r="E619" i="8"/>
  <c r="E618" i="8"/>
  <c r="E617" i="8"/>
  <c r="E616" i="8"/>
  <c r="E615" i="8"/>
  <c r="E614" i="8"/>
  <c r="E613" i="8"/>
  <c r="E612" i="8"/>
  <c r="E608" i="8"/>
  <c r="D585" i="8"/>
  <c r="E50" i="28" s="1"/>
  <c r="C585" i="8"/>
  <c r="D50" i="28" s="1"/>
  <c r="E582" i="8"/>
  <c r="E581" i="8"/>
  <c r="E579" i="8"/>
  <c r="E578" i="8"/>
  <c r="E577" i="8"/>
  <c r="E575" i="8"/>
  <c r="E574" i="8"/>
  <c r="E573" i="8"/>
  <c r="E571" i="8"/>
  <c r="C50" i="28"/>
  <c r="D565" i="8"/>
  <c r="C565" i="8"/>
  <c r="E554" i="8"/>
  <c r="E555" i="8"/>
  <c r="E560" i="8"/>
  <c r="C49" i="28"/>
  <c r="D528" i="8"/>
  <c r="E528" i="8" s="1"/>
  <c r="G15" i="30" s="1"/>
  <c r="E479" i="8"/>
  <c r="D479" i="8"/>
  <c r="D481" i="8" s="1"/>
  <c r="E33" i="28" s="1"/>
  <c r="C479" i="8"/>
  <c r="C481" i="8" s="1"/>
  <c r="D33" i="28" s="1"/>
  <c r="E720" i="8" l="1"/>
  <c r="E724" i="8" s="1"/>
  <c r="C724" i="8"/>
  <c r="C745" i="8"/>
  <c r="D745" i="8"/>
  <c r="E627" i="8"/>
  <c r="F50" i="28"/>
  <c r="E585" i="8"/>
  <c r="D462" i="8" l="1"/>
  <c r="C461" i="8"/>
  <c r="D461" i="8" s="1"/>
  <c r="D460" i="8"/>
  <c r="E460" i="8" s="1"/>
  <c r="D459" i="8"/>
  <c r="E459" i="8" s="1"/>
  <c r="D458" i="8"/>
  <c r="E458" i="8" s="1"/>
  <c r="D455" i="8"/>
  <c r="C454" i="8"/>
  <c r="D454" i="8" s="1"/>
  <c r="D453" i="8"/>
  <c r="E453" i="8" s="1"/>
  <c r="D452" i="8"/>
  <c r="E452" i="8" s="1"/>
  <c r="D451" i="8"/>
  <c r="E451" i="8" s="1"/>
  <c r="D447" i="8"/>
  <c r="C446" i="8"/>
  <c r="D446" i="8" s="1"/>
  <c r="D445" i="8"/>
  <c r="E445" i="8" s="1"/>
  <c r="D444" i="8"/>
  <c r="E444" i="8" s="1"/>
  <c r="D443" i="8"/>
  <c r="E443" i="8" s="1"/>
  <c r="D439" i="8"/>
  <c r="C438" i="8"/>
  <c r="D438" i="8" s="1"/>
  <c r="D437" i="8"/>
  <c r="E437" i="8" s="1"/>
  <c r="D436" i="8"/>
  <c r="E436" i="8" s="1"/>
  <c r="D435" i="8"/>
  <c r="E435" i="8" s="1"/>
  <c r="D400" i="8"/>
  <c r="C400" i="8"/>
  <c r="D373" i="8"/>
  <c r="C372" i="8"/>
  <c r="D372" i="8" s="1"/>
  <c r="D371" i="8"/>
  <c r="E371" i="8" s="1"/>
  <c r="D370" i="8"/>
  <c r="E370" i="8" s="1"/>
  <c r="D369" i="8"/>
  <c r="E369" i="8" s="1"/>
  <c r="D357" i="8"/>
  <c r="C356" i="8"/>
  <c r="D356" i="8" s="1"/>
  <c r="E243" i="8"/>
  <c r="D242" i="8"/>
  <c r="D244" i="8" s="1"/>
  <c r="E244" i="8" s="1"/>
  <c r="E241" i="8"/>
  <c r="E240" i="8"/>
  <c r="E239" i="8"/>
  <c r="E235" i="8"/>
  <c r="D234" i="8"/>
  <c r="D236" i="8" s="1"/>
  <c r="E236" i="8" s="1"/>
  <c r="E233" i="8"/>
  <c r="E232" i="8"/>
  <c r="E231" i="8"/>
  <c r="E226" i="8"/>
  <c r="D225" i="8"/>
  <c r="D227" i="8" s="1"/>
  <c r="E227" i="8" s="1"/>
  <c r="E224" i="8"/>
  <c r="E223" i="8"/>
  <c r="E222" i="8"/>
  <c r="E221" i="8"/>
  <c r="E217" i="8"/>
  <c r="D216" i="8"/>
  <c r="D218" i="8" s="1"/>
  <c r="E218" i="8" s="1"/>
  <c r="E215" i="8"/>
  <c r="E214" i="8"/>
  <c r="E213" i="8"/>
  <c r="E148" i="8"/>
  <c r="E147" i="8"/>
  <c r="C146" i="8"/>
  <c r="E145" i="8"/>
  <c r="E144" i="8"/>
  <c r="D143" i="8"/>
  <c r="D146" i="8" s="1"/>
  <c r="E140" i="8"/>
  <c r="E139" i="8"/>
  <c r="C138" i="8"/>
  <c r="E137" i="8"/>
  <c r="E136" i="8"/>
  <c r="D135" i="8"/>
  <c r="E135" i="8" s="1"/>
  <c r="E132" i="8"/>
  <c r="E131" i="8"/>
  <c r="C130" i="8"/>
  <c r="E129" i="8"/>
  <c r="E128" i="8"/>
  <c r="D127" i="8"/>
  <c r="E127" i="8" s="1"/>
  <c r="E124" i="8"/>
  <c r="E123" i="8"/>
  <c r="C122" i="8"/>
  <c r="E121" i="8"/>
  <c r="E120" i="8"/>
  <c r="D119" i="8"/>
  <c r="E119" i="8" s="1"/>
  <c r="E115" i="8"/>
  <c r="C114" i="8"/>
  <c r="E113" i="8"/>
  <c r="E112" i="8"/>
  <c r="D111" i="8"/>
  <c r="D114" i="8" s="1"/>
  <c r="E461" i="8" l="1"/>
  <c r="E454" i="8"/>
  <c r="E438" i="8"/>
  <c r="E446" i="8"/>
  <c r="E372" i="8"/>
  <c r="E225" i="8"/>
  <c r="E111" i="8"/>
  <c r="E114" i="8"/>
  <c r="E143" i="8"/>
  <c r="E216" i="8"/>
  <c r="E242" i="8"/>
  <c r="E234" i="8"/>
  <c r="D122" i="8"/>
  <c r="E122" i="8" s="1"/>
  <c r="E146" i="8"/>
  <c r="D138" i="8"/>
  <c r="E138" i="8" s="1"/>
  <c r="D130" i="8"/>
  <c r="E130" i="8" s="1"/>
  <c r="E481" i="8" l="1"/>
  <c r="D397" i="8" l="1"/>
  <c r="C396" i="8"/>
  <c r="D396" i="8" s="1"/>
  <c r="D395" i="8"/>
  <c r="E395" i="8" s="1"/>
  <c r="D394" i="8"/>
  <c r="E394" i="8" s="1"/>
  <c r="D393" i="8"/>
  <c r="E393" i="8" s="1"/>
  <c r="D389" i="8"/>
  <c r="C388" i="8"/>
  <c r="D388" i="8" s="1"/>
  <c r="D387" i="8"/>
  <c r="E387" i="8" s="1"/>
  <c r="D386" i="8"/>
  <c r="E386" i="8" s="1"/>
  <c r="D385" i="8"/>
  <c r="E385" i="8" s="1"/>
  <c r="D381" i="8"/>
  <c r="C380" i="8"/>
  <c r="D380" i="8" s="1"/>
  <c r="D379" i="8"/>
  <c r="E379" i="8" s="1"/>
  <c r="D378" i="8"/>
  <c r="E378" i="8" s="1"/>
  <c r="D377" i="8"/>
  <c r="E377" i="8" s="1"/>
  <c r="D365" i="8"/>
  <c r="C364" i="8"/>
  <c r="D364" i="8" s="1"/>
  <c r="D363" i="8"/>
  <c r="E363" i="8" s="1"/>
  <c r="D362" i="8"/>
  <c r="E362" i="8" s="1"/>
  <c r="D361" i="8"/>
  <c r="E361" i="8" s="1"/>
  <c r="D349" i="8"/>
  <c r="C348" i="8"/>
  <c r="D348" i="8" s="1"/>
  <c r="D347" i="8"/>
  <c r="E347" i="8" s="1"/>
  <c r="D346" i="8"/>
  <c r="E346" i="8" s="1"/>
  <c r="D345" i="8"/>
  <c r="E345" i="8" s="1"/>
  <c r="D341" i="8"/>
  <c r="C340" i="8"/>
  <c r="D340" i="8" s="1"/>
  <c r="D339" i="8"/>
  <c r="E339" i="8" s="1"/>
  <c r="D338" i="8"/>
  <c r="E338" i="8" s="1"/>
  <c r="D337" i="8"/>
  <c r="E337" i="8" s="1"/>
  <c r="E396" i="8" l="1"/>
  <c r="E340" i="8"/>
  <c r="E348" i="8"/>
  <c r="E388" i="8"/>
  <c r="E380" i="8"/>
  <c r="E364" i="8"/>
  <c r="E310" i="8"/>
  <c r="E400" i="8" l="1"/>
  <c r="E732" i="8"/>
  <c r="E733" i="8"/>
  <c r="E734" i="8"/>
  <c r="E735" i="8"/>
  <c r="E736" i="8"/>
  <c r="E738" i="8" l="1"/>
  <c r="C58" i="31"/>
  <c r="F26" i="28"/>
  <c r="Q18" i="30" l="1"/>
  <c r="E355" i="8"/>
  <c r="E353" i="8"/>
  <c r="E354" i="8" l="1"/>
  <c r="E356" i="8" s="1"/>
  <c r="D525" i="8"/>
  <c r="D534" i="8" s="1"/>
  <c r="E534" i="8" s="1"/>
  <c r="D522" i="8"/>
  <c r="D185" i="8"/>
  <c r="D184" i="8"/>
  <c r="D531" i="8" l="1"/>
  <c r="E675" i="8"/>
  <c r="E678" i="8" s="1"/>
  <c r="D16" i="30" l="1"/>
  <c r="D540" i="8"/>
  <c r="E540" i="8" s="1"/>
  <c r="E60" i="28"/>
  <c r="E118" i="31"/>
  <c r="E12" i="28" s="1"/>
  <c r="D82" i="31"/>
  <c r="D10" i="28" s="1"/>
  <c r="C8" i="28"/>
  <c r="D116" i="31"/>
  <c r="D118" i="31" s="1"/>
  <c r="D12" i="28" s="1"/>
  <c r="E74" i="31"/>
  <c r="E9" i="28" s="1"/>
  <c r="D71" i="31"/>
  <c r="F71" i="31" s="1"/>
  <c r="D68" i="31"/>
  <c r="F68" i="31" s="1"/>
  <c r="A60" i="31"/>
  <c r="C9" i="28" s="1"/>
  <c r="C41" i="28" l="1"/>
  <c r="F12" i="28"/>
  <c r="A517" i="8"/>
  <c r="A76" i="31"/>
  <c r="F116" i="31"/>
  <c r="D74" i="31"/>
  <c r="D9" i="28" s="1"/>
  <c r="F9" i="28" s="1"/>
  <c r="D98" i="8"/>
  <c r="D100" i="8" s="1"/>
  <c r="C42" i="28" l="1"/>
  <c r="A111" i="31"/>
  <c r="A4" i="8" s="1"/>
  <c r="C10" i="28"/>
  <c r="F74" i="31"/>
  <c r="C16" i="28" l="1"/>
  <c r="C12" i="28"/>
  <c r="E61" i="28" l="1"/>
  <c r="A601" i="8"/>
  <c r="D60" i="28"/>
  <c r="F60" i="28" s="1"/>
  <c r="C51" i="28"/>
  <c r="A633" i="8" l="1"/>
  <c r="C53" i="28"/>
  <c r="D58" i="31"/>
  <c r="D12" i="31"/>
  <c r="F12" i="31" s="1"/>
  <c r="D15" i="31"/>
  <c r="F15" i="31" s="1"/>
  <c r="D41" i="31"/>
  <c r="F41" i="31" s="1"/>
  <c r="D44" i="31"/>
  <c r="F44" i="31" s="1"/>
  <c r="D19" i="31"/>
  <c r="F19" i="31" s="1"/>
  <c r="D23" i="31"/>
  <c r="F23" i="31" s="1"/>
  <c r="D26" i="31"/>
  <c r="F26" i="31" s="1"/>
  <c r="D29" i="31"/>
  <c r="F29" i="31" s="1"/>
  <c r="D32" i="31"/>
  <c r="F32" i="31" s="1"/>
  <c r="D35" i="31"/>
  <c r="F35" i="31" s="1"/>
  <c r="D38" i="31"/>
  <c r="F38" i="31" s="1"/>
  <c r="D47" i="31"/>
  <c r="F47" i="31" s="1"/>
  <c r="E50" i="31"/>
  <c r="E8" i="28" s="1"/>
  <c r="C58" i="28" l="1"/>
  <c r="A647" i="8"/>
  <c r="D50" i="31"/>
  <c r="D187" i="8"/>
  <c r="D176" i="8"/>
  <c r="D90" i="8"/>
  <c r="D92" i="8" s="1"/>
  <c r="E104" i="8"/>
  <c r="E105" i="8"/>
  <c r="E107" i="8"/>
  <c r="D103" i="8"/>
  <c r="E96" i="8"/>
  <c r="E97" i="8"/>
  <c r="E99" i="8"/>
  <c r="E95" i="8"/>
  <c r="E206" i="8"/>
  <c r="E207" i="8"/>
  <c r="E209" i="8"/>
  <c r="E205" i="8"/>
  <c r="D208" i="8"/>
  <c r="D210" i="8" s="1"/>
  <c r="E210" i="8" s="1"/>
  <c r="E198" i="8"/>
  <c r="E199" i="8"/>
  <c r="E201" i="8"/>
  <c r="E197" i="8"/>
  <c r="E193" i="8"/>
  <c r="C106" i="8"/>
  <c r="C108" i="8" s="1"/>
  <c r="C98" i="8"/>
  <c r="C100" i="8" s="1"/>
  <c r="C90" i="8"/>
  <c r="C92" i="8" s="1"/>
  <c r="E89" i="8"/>
  <c r="E88" i="8"/>
  <c r="E87" i="8"/>
  <c r="E191" i="8"/>
  <c r="E92" i="8" l="1"/>
  <c r="C151" i="8"/>
  <c r="D192" i="8"/>
  <c r="E192" i="8" s="1"/>
  <c r="E194" i="8" s="1"/>
  <c r="C59" i="28"/>
  <c r="A669" i="8"/>
  <c r="E20" i="28"/>
  <c r="F50" i="31"/>
  <c r="D8" i="28"/>
  <c r="E103" i="8"/>
  <c r="D106" i="8"/>
  <c r="D108" i="8" s="1"/>
  <c r="D151" i="8" s="1"/>
  <c r="E98" i="8"/>
  <c r="E90" i="8"/>
  <c r="E208" i="8"/>
  <c r="E100" i="8"/>
  <c r="E185" i="8"/>
  <c r="E184" i="8"/>
  <c r="C186" i="8"/>
  <c r="C188" i="8" s="1"/>
  <c r="C248" i="8" s="1"/>
  <c r="E183" i="8"/>
  <c r="C326" i="8"/>
  <c r="C328" i="8" s="1"/>
  <c r="D194" i="8" l="1"/>
  <c r="E151" i="8"/>
  <c r="C60" i="28"/>
  <c r="A682" i="8"/>
  <c r="C61" i="28" s="1"/>
  <c r="E18" i="28"/>
  <c r="D21" i="28"/>
  <c r="D18" i="28"/>
  <c r="D29" i="28"/>
  <c r="F8" i="28"/>
  <c r="E108" i="8"/>
  <c r="E106" i="8"/>
  <c r="D186" i="8"/>
  <c r="D188" i="8" s="1"/>
  <c r="F18" i="28" l="1"/>
  <c r="A728" i="8"/>
  <c r="E661" i="8"/>
  <c r="E606" i="8"/>
  <c r="E549" i="8"/>
  <c r="E288" i="8"/>
  <c r="E286" i="8"/>
  <c r="E285" i="8"/>
  <c r="E284" i="8"/>
  <c r="E277" i="8"/>
  <c r="E278" i="8"/>
  <c r="E280" i="8"/>
  <c r="E276" i="8"/>
  <c r="E265" i="8"/>
  <c r="E263" i="8"/>
  <c r="E262" i="8"/>
  <c r="E261" i="8"/>
  <c r="E260" i="8"/>
  <c r="E116" i="8"/>
  <c r="E73" i="8"/>
  <c r="E75" i="8"/>
  <c r="E72" i="8"/>
  <c r="C62" i="28" l="1"/>
  <c r="E188" i="8"/>
  <c r="E531" i="8"/>
  <c r="E525" i="8"/>
  <c r="E522" i="8"/>
  <c r="C266" i="8"/>
  <c r="E266" i="8" s="1"/>
  <c r="E268" i="8" s="1"/>
  <c r="D200" i="8"/>
  <c r="E200" i="8" s="1"/>
  <c r="D74" i="8"/>
  <c r="D610" i="8"/>
  <c r="D629" i="8" s="1"/>
  <c r="E594" i="8"/>
  <c r="C78" i="8"/>
  <c r="B12" i="27"/>
  <c r="B6" i="27"/>
  <c r="B10" i="27" s="1"/>
  <c r="CS123" i="23"/>
  <c r="CR123" i="23"/>
  <c r="CQ123" i="23"/>
  <c r="CP123" i="23"/>
  <c r="CO123" i="23"/>
  <c r="CM123" i="23"/>
  <c r="CL123" i="23"/>
  <c r="CK123" i="23"/>
  <c r="CJ123" i="23"/>
  <c r="CI123" i="23"/>
  <c r="CG123" i="23"/>
  <c r="CF123" i="23"/>
  <c r="CE123" i="23"/>
  <c r="CD123" i="23"/>
  <c r="CC123" i="23"/>
  <c r="CA123" i="23"/>
  <c r="BZ123" i="23"/>
  <c r="BY123" i="23"/>
  <c r="BX123" i="23"/>
  <c r="BW123" i="23"/>
  <c r="BU123" i="23"/>
  <c r="BT123" i="23"/>
  <c r="BS123" i="23"/>
  <c r="BR123" i="23"/>
  <c r="BQ123" i="23"/>
  <c r="BO123" i="23"/>
  <c r="BN123" i="23"/>
  <c r="BM123" i="23"/>
  <c r="BL123" i="23"/>
  <c r="BK123" i="23"/>
  <c r="BI123" i="23"/>
  <c r="BH123" i="23"/>
  <c r="BG123" i="23"/>
  <c r="BF123" i="23"/>
  <c r="BE123" i="23"/>
  <c r="BC123" i="23"/>
  <c r="BB123" i="23"/>
  <c r="BA123" i="23"/>
  <c r="AZ123" i="23"/>
  <c r="AY123" i="23"/>
  <c r="AW123" i="23"/>
  <c r="AV123" i="23"/>
  <c r="AU123" i="23"/>
  <c r="AT123" i="23"/>
  <c r="AS123" i="23"/>
  <c r="AQ123" i="23"/>
  <c r="AP123" i="23"/>
  <c r="AO123" i="23"/>
  <c r="AN123" i="23"/>
  <c r="AM123" i="23"/>
  <c r="AK123" i="23"/>
  <c r="AJ123" i="23"/>
  <c r="AI123" i="23"/>
  <c r="AH123" i="23"/>
  <c r="AG123" i="23"/>
  <c r="AE123" i="23"/>
  <c r="AD123" i="23"/>
  <c r="AC123" i="23"/>
  <c r="AB123" i="23"/>
  <c r="AA123" i="23"/>
  <c r="Y123" i="23"/>
  <c r="X123" i="23"/>
  <c r="W123" i="23"/>
  <c r="V123" i="23"/>
  <c r="U123" i="23"/>
  <c r="S123" i="23"/>
  <c r="R123" i="23"/>
  <c r="Q123" i="23"/>
  <c r="P123" i="23"/>
  <c r="O123" i="23"/>
  <c r="M123" i="23"/>
  <c r="L123" i="23"/>
  <c r="K123" i="23"/>
  <c r="J123" i="23"/>
  <c r="I123" i="23"/>
  <c r="CT122" i="23"/>
  <c r="CN122" i="23"/>
  <c r="CH122" i="23"/>
  <c r="CB122" i="23"/>
  <c r="BV122" i="23"/>
  <c r="G122" i="23" s="1"/>
  <c r="BP122" i="23"/>
  <c r="BJ122" i="23"/>
  <c r="BD122" i="23"/>
  <c r="AX122" i="23"/>
  <c r="AR122" i="23"/>
  <c r="AL122" i="23"/>
  <c r="AF122" i="23"/>
  <c r="Z122" i="23"/>
  <c r="T122" i="23"/>
  <c r="N122" i="23"/>
  <c r="F122" i="23"/>
  <c r="E122" i="23"/>
  <c r="D122" i="23"/>
  <c r="C122" i="23"/>
  <c r="CT121" i="23"/>
  <c r="CN121" i="23"/>
  <c r="CH121" i="23"/>
  <c r="CB121" i="23"/>
  <c r="BV121" i="23"/>
  <c r="G121" i="23" s="1"/>
  <c r="BP121" i="23"/>
  <c r="BJ121" i="23"/>
  <c r="BD121" i="23"/>
  <c r="AX121" i="23"/>
  <c r="AR121" i="23"/>
  <c r="AL121" i="23"/>
  <c r="AF121" i="23"/>
  <c r="Z121" i="23"/>
  <c r="T121" i="23"/>
  <c r="N121" i="23"/>
  <c r="F121" i="23"/>
  <c r="E121" i="23"/>
  <c r="D121" i="23"/>
  <c r="C121" i="23"/>
  <c r="CS111" i="23"/>
  <c r="CQ111" i="23"/>
  <c r="CP111" i="23"/>
  <c r="CO111" i="23"/>
  <c r="CM111" i="23"/>
  <c r="CK111" i="23"/>
  <c r="CJ111" i="23"/>
  <c r="CI111" i="23"/>
  <c r="CG111" i="23"/>
  <c r="CE111" i="23"/>
  <c r="CD111" i="23"/>
  <c r="CC111" i="23"/>
  <c r="CA111" i="23"/>
  <c r="BY111" i="23"/>
  <c r="BX111" i="23"/>
  <c r="BW111" i="23"/>
  <c r="BU111" i="23"/>
  <c r="BS111" i="23"/>
  <c r="BR111" i="23"/>
  <c r="BQ111" i="23"/>
  <c r="BO111" i="23"/>
  <c r="BM111" i="23"/>
  <c r="BL111" i="23"/>
  <c r="BK111" i="23"/>
  <c r="BI111" i="23"/>
  <c r="BG111" i="23"/>
  <c r="BF111" i="23"/>
  <c r="BE111" i="23"/>
  <c r="BC111" i="23"/>
  <c r="BA111" i="23"/>
  <c r="AZ111" i="23"/>
  <c r="AY111" i="23"/>
  <c r="AW111" i="23"/>
  <c r="AU111" i="23"/>
  <c r="AT111" i="23"/>
  <c r="AS111" i="23"/>
  <c r="AQ111" i="23"/>
  <c r="AO111" i="23"/>
  <c r="AN111" i="23"/>
  <c r="AM111" i="23"/>
  <c r="AK111" i="23"/>
  <c r="AI111" i="23"/>
  <c r="AH111" i="23"/>
  <c r="AG111" i="23"/>
  <c r="AE111" i="23"/>
  <c r="AC111" i="23"/>
  <c r="AB111" i="23"/>
  <c r="AA111" i="23"/>
  <c r="Y111" i="23"/>
  <c r="W111" i="23"/>
  <c r="V111" i="23"/>
  <c r="U111" i="23"/>
  <c r="S111" i="23"/>
  <c r="Q111" i="23"/>
  <c r="P111" i="23"/>
  <c r="O111" i="23"/>
  <c r="M111" i="23"/>
  <c r="K111" i="23"/>
  <c r="J111" i="23"/>
  <c r="I111" i="23"/>
  <c r="CR110" i="23"/>
  <c r="CT110" i="23" s="1"/>
  <c r="CL110" i="23"/>
  <c r="CN110" i="23" s="1"/>
  <c r="CF110" i="23"/>
  <c r="BZ110" i="23"/>
  <c r="CB110" i="23" s="1"/>
  <c r="BT110" i="23"/>
  <c r="BN110" i="23"/>
  <c r="BP110" i="23" s="1"/>
  <c r="BH110" i="23"/>
  <c r="BJ110" i="23" s="1"/>
  <c r="BB110" i="23"/>
  <c r="BD110" i="23" s="1"/>
  <c r="AV110" i="23"/>
  <c r="AX110" i="23" s="1"/>
  <c r="AP110" i="23"/>
  <c r="AR110" i="23" s="1"/>
  <c r="AJ110" i="23"/>
  <c r="AD110" i="23"/>
  <c r="AF110" i="23" s="1"/>
  <c r="X110" i="23"/>
  <c r="R110" i="23"/>
  <c r="T110" i="23" s="1"/>
  <c r="L110" i="23"/>
  <c r="N110" i="23" s="1"/>
  <c r="CR109" i="23"/>
  <c r="CT109" i="23" s="1"/>
  <c r="CL109" i="23"/>
  <c r="CN109" i="23" s="1"/>
  <c r="CF109" i="23"/>
  <c r="CH109" i="23" s="1"/>
  <c r="BZ109" i="23"/>
  <c r="CB109" i="23" s="1"/>
  <c r="BT109" i="23"/>
  <c r="BV109" i="23" s="1"/>
  <c r="G109" i="23" s="1"/>
  <c r="BN109" i="23"/>
  <c r="BP109" i="23" s="1"/>
  <c r="BH109" i="23"/>
  <c r="BJ109" i="23" s="1"/>
  <c r="BB109" i="23"/>
  <c r="BD109" i="23" s="1"/>
  <c r="AV109" i="23"/>
  <c r="AX109" i="23" s="1"/>
  <c r="AP109" i="23"/>
  <c r="AR109" i="23" s="1"/>
  <c r="AJ109" i="23"/>
  <c r="AL109" i="23" s="1"/>
  <c r="AD109" i="23"/>
  <c r="AF109" i="23" s="1"/>
  <c r="X109" i="23"/>
  <c r="Z109" i="23" s="1"/>
  <c r="R109" i="23"/>
  <c r="T109" i="23" s="1"/>
  <c r="L109" i="23"/>
  <c r="N109" i="23" s="1"/>
  <c r="D109" i="23"/>
  <c r="C109" i="23"/>
  <c r="CR108" i="23"/>
  <c r="CL108" i="23"/>
  <c r="CN108" i="23" s="1"/>
  <c r="CF108" i="23"/>
  <c r="CH108" i="23" s="1"/>
  <c r="BZ108" i="23"/>
  <c r="CB108" i="23" s="1"/>
  <c r="BT108" i="23"/>
  <c r="BV108" i="23" s="1"/>
  <c r="G108" i="23" s="1"/>
  <c r="BN108" i="23"/>
  <c r="BP108" i="23" s="1"/>
  <c r="BH108" i="23"/>
  <c r="BJ108" i="23" s="1"/>
  <c r="BB108" i="23"/>
  <c r="BD108" i="23" s="1"/>
  <c r="AV108" i="23"/>
  <c r="AX108" i="23" s="1"/>
  <c r="AP108" i="23"/>
  <c r="AR108" i="23" s="1"/>
  <c r="AJ108" i="23"/>
  <c r="AL108" i="23" s="1"/>
  <c r="AD108" i="23"/>
  <c r="AF108" i="23" s="1"/>
  <c r="X108" i="23"/>
  <c r="Z108" i="23" s="1"/>
  <c r="R108" i="23"/>
  <c r="T108" i="23" s="1"/>
  <c r="L108" i="23"/>
  <c r="N108" i="23" s="1"/>
  <c r="D108" i="23"/>
  <c r="C108" i="23"/>
  <c r="CR107" i="23"/>
  <c r="CT107" i="23" s="1"/>
  <c r="CL107" i="23"/>
  <c r="CN107" i="23" s="1"/>
  <c r="CF107" i="23"/>
  <c r="CH107" i="23" s="1"/>
  <c r="BZ107" i="23"/>
  <c r="CB107" i="23" s="1"/>
  <c r="BT107" i="23"/>
  <c r="E107" i="23" s="1"/>
  <c r="BN107" i="23"/>
  <c r="BP107" i="23" s="1"/>
  <c r="BH107" i="23"/>
  <c r="BJ107" i="23" s="1"/>
  <c r="BB107" i="23"/>
  <c r="BD107" i="23" s="1"/>
  <c r="AV107" i="23"/>
  <c r="AX107" i="23" s="1"/>
  <c r="AP107" i="23"/>
  <c r="AR107" i="23" s="1"/>
  <c r="AJ107" i="23"/>
  <c r="AL107" i="23" s="1"/>
  <c r="AD107" i="23"/>
  <c r="AF107" i="23" s="1"/>
  <c r="X107" i="23"/>
  <c r="Z107" i="23" s="1"/>
  <c r="R107" i="23"/>
  <c r="T107" i="23" s="1"/>
  <c r="L107" i="23"/>
  <c r="N107" i="23" s="1"/>
  <c r="D107" i="23"/>
  <c r="C107" i="23"/>
  <c r="CR106" i="23"/>
  <c r="CT106" i="23" s="1"/>
  <c r="CL106" i="23"/>
  <c r="CN106" i="23" s="1"/>
  <c r="CF106" i="23"/>
  <c r="CH106" i="23" s="1"/>
  <c r="BZ106" i="23"/>
  <c r="CB106" i="23" s="1"/>
  <c r="BT106" i="23"/>
  <c r="E106" i="23" s="1"/>
  <c r="BN106" i="23"/>
  <c r="BP106" i="23" s="1"/>
  <c r="BH106" i="23"/>
  <c r="BJ106" i="23" s="1"/>
  <c r="BB106" i="23"/>
  <c r="BD106" i="23" s="1"/>
  <c r="AV106" i="23"/>
  <c r="AX106" i="23" s="1"/>
  <c r="AP106" i="23"/>
  <c r="AR106" i="23" s="1"/>
  <c r="AJ106" i="23"/>
  <c r="AL106" i="23" s="1"/>
  <c r="AD106" i="23"/>
  <c r="AF106" i="23" s="1"/>
  <c r="X106" i="23"/>
  <c r="Z106" i="23" s="1"/>
  <c r="R106" i="23"/>
  <c r="T106" i="23" s="1"/>
  <c r="L106" i="23"/>
  <c r="N106" i="23" s="1"/>
  <c r="D106" i="23"/>
  <c r="C106" i="23"/>
  <c r="CR105" i="23"/>
  <c r="CT105" i="23" s="1"/>
  <c r="CL105" i="23"/>
  <c r="CN105" i="23" s="1"/>
  <c r="CF105" i="23"/>
  <c r="CH105" i="23" s="1"/>
  <c r="BZ105" i="23"/>
  <c r="CB105" i="23" s="1"/>
  <c r="BT105" i="23"/>
  <c r="BV105" i="23" s="1"/>
  <c r="G105" i="23" s="1"/>
  <c r="BN105" i="23"/>
  <c r="BP105" i="23" s="1"/>
  <c r="BH105" i="23"/>
  <c r="BJ105" i="23" s="1"/>
  <c r="BB105" i="23"/>
  <c r="BD105" i="23" s="1"/>
  <c r="AV105" i="23"/>
  <c r="AX105" i="23" s="1"/>
  <c r="AP105" i="23"/>
  <c r="AR105" i="23" s="1"/>
  <c r="AJ105" i="23"/>
  <c r="AL105" i="23" s="1"/>
  <c r="AD105" i="23"/>
  <c r="AF105" i="23" s="1"/>
  <c r="X105" i="23"/>
  <c r="Z105" i="23" s="1"/>
  <c r="R105" i="23"/>
  <c r="T105" i="23" s="1"/>
  <c r="L105" i="23"/>
  <c r="N105" i="23" s="1"/>
  <c r="D105" i="23"/>
  <c r="C105" i="23"/>
  <c r="CR104" i="23"/>
  <c r="CT104" i="23" s="1"/>
  <c r="CL104" i="23"/>
  <c r="CF104" i="23"/>
  <c r="CH104" i="23" s="1"/>
  <c r="BZ104" i="23"/>
  <c r="BT104" i="23"/>
  <c r="BV104" i="23" s="1"/>
  <c r="BN104" i="23"/>
  <c r="BH104" i="23"/>
  <c r="BJ104" i="23" s="1"/>
  <c r="BB104" i="23"/>
  <c r="AV104" i="23"/>
  <c r="AP104" i="23"/>
  <c r="AJ104" i="23"/>
  <c r="AL104" i="23" s="1"/>
  <c r="AD104" i="23"/>
  <c r="X104" i="23"/>
  <c r="Z104" i="23" s="1"/>
  <c r="R104" i="23"/>
  <c r="L104" i="23"/>
  <c r="N104" i="23" s="1"/>
  <c r="CS99" i="23"/>
  <c r="CM99" i="23"/>
  <c r="CG99" i="23"/>
  <c r="CA99" i="23"/>
  <c r="BU99" i="23"/>
  <c r="BO99" i="23"/>
  <c r="BI99" i="23"/>
  <c r="BC99" i="23"/>
  <c r="AW99" i="23"/>
  <c r="AQ99" i="23"/>
  <c r="AK99" i="23"/>
  <c r="AE99" i="23"/>
  <c r="Y99" i="23"/>
  <c r="S99" i="23"/>
  <c r="M99" i="23"/>
  <c r="G99" i="23"/>
  <c r="CR98" i="23"/>
  <c r="CQ98" i="23"/>
  <c r="CP98" i="23"/>
  <c r="CO98" i="23"/>
  <c r="CL98" i="23"/>
  <c r="CK98" i="23"/>
  <c r="CJ98" i="23"/>
  <c r="CI98" i="23"/>
  <c r="CF98" i="23"/>
  <c r="CE98" i="23"/>
  <c r="CD98" i="23"/>
  <c r="CC98" i="23"/>
  <c r="BZ98" i="23"/>
  <c r="BY98" i="23"/>
  <c r="BX98" i="23"/>
  <c r="BW98" i="23"/>
  <c r="BT98" i="23"/>
  <c r="BS98" i="23"/>
  <c r="BR98" i="23"/>
  <c r="BQ98" i="23"/>
  <c r="BN98" i="23"/>
  <c r="BM98" i="23"/>
  <c r="BL98" i="23"/>
  <c r="BK98" i="23"/>
  <c r="BH98" i="23"/>
  <c r="BG98" i="23"/>
  <c r="BF98" i="23"/>
  <c r="BE98" i="23"/>
  <c r="BB98" i="23"/>
  <c r="BA98" i="23"/>
  <c r="AZ98" i="23"/>
  <c r="AY98" i="23"/>
  <c r="AV98" i="23"/>
  <c r="AU98" i="23"/>
  <c r="AT98" i="23"/>
  <c r="AS98" i="23"/>
  <c r="AP98" i="23"/>
  <c r="AO98" i="23"/>
  <c r="AN98" i="23"/>
  <c r="AM98" i="23"/>
  <c r="AJ98" i="23"/>
  <c r="AI98" i="23"/>
  <c r="AH98" i="23"/>
  <c r="AG98" i="23"/>
  <c r="AD98" i="23"/>
  <c r="AC98" i="23"/>
  <c r="AB98" i="23"/>
  <c r="AA98" i="23"/>
  <c r="X98" i="23"/>
  <c r="W98" i="23"/>
  <c r="V98" i="23"/>
  <c r="U98" i="23"/>
  <c r="R98" i="23"/>
  <c r="Q98" i="23"/>
  <c r="P98" i="23"/>
  <c r="O98" i="23"/>
  <c r="L98" i="23"/>
  <c r="K98" i="23"/>
  <c r="J98" i="23"/>
  <c r="I98" i="23"/>
  <c r="CS96" i="23"/>
  <c r="CM96" i="23"/>
  <c r="CG96" i="23"/>
  <c r="CA96" i="23"/>
  <c r="BU96" i="23"/>
  <c r="BO96" i="23"/>
  <c r="BI96" i="23"/>
  <c r="BC96" i="23"/>
  <c r="AW96" i="23"/>
  <c r="AQ96" i="23"/>
  <c r="AK96" i="23"/>
  <c r="AE96" i="23"/>
  <c r="Y96" i="23"/>
  <c r="S96" i="23"/>
  <c r="M96" i="23"/>
  <c r="CS95" i="23"/>
  <c r="CM95" i="23"/>
  <c r="CG95" i="23"/>
  <c r="CA95" i="23"/>
  <c r="BU95" i="23"/>
  <c r="BO95" i="23"/>
  <c r="BI95" i="23"/>
  <c r="BC95" i="23"/>
  <c r="AW95" i="23"/>
  <c r="AQ95" i="23"/>
  <c r="AK95" i="23"/>
  <c r="AE95" i="23"/>
  <c r="Y95" i="23"/>
  <c r="S95" i="23"/>
  <c r="M95" i="23"/>
  <c r="F95" i="23"/>
  <c r="E95" i="23"/>
  <c r="D95" i="23"/>
  <c r="C95" i="23"/>
  <c r="CS94" i="23"/>
  <c r="CM94" i="23"/>
  <c r="CG94" i="23"/>
  <c r="CA94" i="23"/>
  <c r="BU94" i="23"/>
  <c r="BO94" i="23"/>
  <c r="BI94" i="23"/>
  <c r="BC94" i="23"/>
  <c r="AW94" i="23"/>
  <c r="AQ94" i="23"/>
  <c r="AK94" i="23"/>
  <c r="AE94" i="23"/>
  <c r="Y94" i="23"/>
  <c r="S94" i="23"/>
  <c r="M94" i="23"/>
  <c r="F94" i="23"/>
  <c r="E94" i="23"/>
  <c r="D94" i="23"/>
  <c r="C94" i="23"/>
  <c r="CS93" i="23"/>
  <c r="CM93" i="23"/>
  <c r="CG93" i="23"/>
  <c r="CA93" i="23"/>
  <c r="BU93" i="23"/>
  <c r="BO93" i="23"/>
  <c r="BI93" i="23"/>
  <c r="BC93" i="23"/>
  <c r="AW93" i="23"/>
  <c r="AQ93" i="23"/>
  <c r="AK93" i="23"/>
  <c r="AE93" i="23"/>
  <c r="Y93" i="23"/>
  <c r="S93" i="23"/>
  <c r="M93" i="23"/>
  <c r="F93" i="23"/>
  <c r="E93" i="23"/>
  <c r="D93" i="23"/>
  <c r="C93" i="23"/>
  <c r="CS92" i="23"/>
  <c r="CM92" i="23"/>
  <c r="CG92" i="23"/>
  <c r="CA92" i="23"/>
  <c r="BU92" i="23"/>
  <c r="BO92" i="23"/>
  <c r="BI92" i="23"/>
  <c r="BC92" i="23"/>
  <c r="AW92" i="23"/>
  <c r="AQ92" i="23"/>
  <c r="AK92" i="23"/>
  <c r="AE92" i="23"/>
  <c r="Y92" i="23"/>
  <c r="S92" i="23"/>
  <c r="M92" i="23"/>
  <c r="F92" i="23"/>
  <c r="E92" i="23"/>
  <c r="D92" i="23"/>
  <c r="C92" i="23"/>
  <c r="CS91" i="23"/>
  <c r="CM91" i="23"/>
  <c r="CG91" i="23"/>
  <c r="CA91" i="23"/>
  <c r="BU91" i="23"/>
  <c r="BO91" i="23"/>
  <c r="BI91" i="23"/>
  <c r="BC91" i="23"/>
  <c r="AW91" i="23"/>
  <c r="AQ91" i="23"/>
  <c r="AK91" i="23"/>
  <c r="AE91" i="23"/>
  <c r="Y91" i="23"/>
  <c r="S91" i="23"/>
  <c r="M91" i="23"/>
  <c r="F91" i="23"/>
  <c r="E91" i="23"/>
  <c r="D91" i="23"/>
  <c r="C91" i="23"/>
  <c r="CS90" i="23"/>
  <c r="CM90" i="23"/>
  <c r="CG90" i="23"/>
  <c r="CA90" i="23"/>
  <c r="BU90" i="23"/>
  <c r="BO90" i="23"/>
  <c r="BI90" i="23"/>
  <c r="BC90" i="23"/>
  <c r="AW90" i="23"/>
  <c r="AQ90" i="23"/>
  <c r="AK90" i="23"/>
  <c r="AE90" i="23"/>
  <c r="Y90" i="23"/>
  <c r="S90" i="23"/>
  <c r="M90" i="23"/>
  <c r="F90" i="23"/>
  <c r="E90" i="23"/>
  <c r="D90" i="23"/>
  <c r="C90" i="23"/>
  <c r="CS89" i="23"/>
  <c r="CM89" i="23"/>
  <c r="CG89" i="23"/>
  <c r="CA89" i="23"/>
  <c r="BU89" i="23"/>
  <c r="BO89" i="23"/>
  <c r="BI89" i="23"/>
  <c r="BC89" i="23"/>
  <c r="AW89" i="23"/>
  <c r="AQ89" i="23"/>
  <c r="AK89" i="23"/>
  <c r="AE89" i="23"/>
  <c r="Y89" i="23"/>
  <c r="S89" i="23"/>
  <c r="M89" i="23"/>
  <c r="CS80" i="23"/>
  <c r="CQ80" i="23"/>
  <c r="CP80" i="23"/>
  <c r="CO80" i="23"/>
  <c r="CM80" i="23"/>
  <c r="CK80" i="23"/>
  <c r="CJ80" i="23"/>
  <c r="CI80" i="23"/>
  <c r="CG80" i="23"/>
  <c r="CE80" i="23"/>
  <c r="CD80" i="23"/>
  <c r="CC80" i="23"/>
  <c r="CA80" i="23"/>
  <c r="BY80" i="23"/>
  <c r="BX80" i="23"/>
  <c r="BW80" i="23"/>
  <c r="BU80" i="23"/>
  <c r="BS80" i="23"/>
  <c r="BR80" i="23"/>
  <c r="BQ80" i="23"/>
  <c r="BO80" i="23"/>
  <c r="BM80" i="23"/>
  <c r="BL80" i="23"/>
  <c r="BK80" i="23"/>
  <c r="BI80" i="23"/>
  <c r="BG80" i="23"/>
  <c r="BF80" i="23"/>
  <c r="BE80" i="23"/>
  <c r="BC80" i="23"/>
  <c r="BA80" i="23"/>
  <c r="AZ80" i="23"/>
  <c r="AY80" i="23"/>
  <c r="AW80" i="23"/>
  <c r="AU80" i="23"/>
  <c r="AT80" i="23"/>
  <c r="AS80" i="23"/>
  <c r="AQ80" i="23"/>
  <c r="AO80" i="23"/>
  <c r="AN80" i="23"/>
  <c r="AM80" i="23"/>
  <c r="AK80" i="23"/>
  <c r="AI80" i="23"/>
  <c r="AH80" i="23"/>
  <c r="AG80" i="23"/>
  <c r="AE80" i="23"/>
  <c r="AC80" i="23"/>
  <c r="AB80" i="23"/>
  <c r="AA80" i="23"/>
  <c r="Y80" i="23"/>
  <c r="W80" i="23"/>
  <c r="V80" i="23"/>
  <c r="U80" i="23"/>
  <c r="S80" i="23"/>
  <c r="Q80" i="23"/>
  <c r="P80" i="23"/>
  <c r="O80" i="23"/>
  <c r="M80" i="23"/>
  <c r="K80" i="23"/>
  <c r="J80" i="23"/>
  <c r="I80" i="23"/>
  <c r="CR79" i="23"/>
  <c r="CT79" i="23" s="1"/>
  <c r="CL79" i="23"/>
  <c r="CN79" i="23" s="1"/>
  <c r="CF79" i="23"/>
  <c r="CH79" i="23" s="1"/>
  <c r="BZ79" i="23"/>
  <c r="CB79" i="23" s="1"/>
  <c r="BT79" i="23"/>
  <c r="BN79" i="23"/>
  <c r="BP79" i="23" s="1"/>
  <c r="BH79" i="23"/>
  <c r="BJ79" i="23" s="1"/>
  <c r="BB79" i="23"/>
  <c r="BD79" i="23" s="1"/>
  <c r="AV79" i="23"/>
  <c r="AX79" i="23" s="1"/>
  <c r="AP79" i="23"/>
  <c r="AR79" i="23" s="1"/>
  <c r="AJ79" i="23"/>
  <c r="AD79" i="23"/>
  <c r="AF79" i="23" s="1"/>
  <c r="X79" i="23"/>
  <c r="Z79" i="23" s="1"/>
  <c r="R79" i="23"/>
  <c r="T79" i="23" s="1"/>
  <c r="L79" i="23"/>
  <c r="N79" i="23" s="1"/>
  <c r="D79" i="23"/>
  <c r="C79" i="23"/>
  <c r="CR78" i="23"/>
  <c r="CL78" i="23"/>
  <c r="CF78" i="23"/>
  <c r="BZ78" i="23"/>
  <c r="CB78" i="23" s="1"/>
  <c r="BT78" i="23"/>
  <c r="BV78" i="23" s="1"/>
  <c r="BN78" i="23"/>
  <c r="BH78" i="23"/>
  <c r="BJ78" i="23" s="1"/>
  <c r="BB78" i="23"/>
  <c r="AV78" i="23"/>
  <c r="AP78" i="23"/>
  <c r="AJ78" i="23"/>
  <c r="AL78" i="23" s="1"/>
  <c r="AD78" i="23"/>
  <c r="AF78" i="23" s="1"/>
  <c r="X78" i="23"/>
  <c r="Z78" i="23" s="1"/>
  <c r="R78" i="23"/>
  <c r="L78" i="23"/>
  <c r="N78" i="23" s="1"/>
  <c r="G78" i="23"/>
  <c r="E78" i="23"/>
  <c r="D78" i="23"/>
  <c r="C78" i="23"/>
  <c r="CS72" i="23"/>
  <c r="CR72" i="23"/>
  <c r="CQ72" i="23"/>
  <c r="CP72" i="23"/>
  <c r="CO72" i="23"/>
  <c r="CM72" i="23"/>
  <c r="CL72" i="23"/>
  <c r="CK72" i="23"/>
  <c r="CJ72" i="23"/>
  <c r="CI72" i="23"/>
  <c r="CG72" i="23"/>
  <c r="CF72" i="23"/>
  <c r="CE72" i="23"/>
  <c r="CD72" i="23"/>
  <c r="CC72" i="23"/>
  <c r="CA72" i="23"/>
  <c r="BZ72" i="23"/>
  <c r="BY72" i="23"/>
  <c r="BX72" i="23"/>
  <c r="BW72" i="23"/>
  <c r="BU72" i="23"/>
  <c r="BT72" i="23"/>
  <c r="BS72" i="23"/>
  <c r="BR72" i="23"/>
  <c r="BQ72" i="23"/>
  <c r="BO72" i="23"/>
  <c r="BN72" i="23"/>
  <c r="BM72" i="23"/>
  <c r="BL72" i="23"/>
  <c r="BK72" i="23"/>
  <c r="BI72" i="23"/>
  <c r="BH72" i="23"/>
  <c r="BG72" i="23"/>
  <c r="BF72" i="23"/>
  <c r="BE72" i="23"/>
  <c r="BC72" i="23"/>
  <c r="BB72" i="23"/>
  <c r="BA72" i="23"/>
  <c r="AZ72" i="23"/>
  <c r="AY72" i="23"/>
  <c r="AW72" i="23"/>
  <c r="AV72" i="23"/>
  <c r="AU72" i="23"/>
  <c r="AT72" i="23"/>
  <c r="AS72" i="23"/>
  <c r="AQ72" i="23"/>
  <c r="AP72" i="23"/>
  <c r="AO72" i="23"/>
  <c r="AN72" i="23"/>
  <c r="AM72" i="23"/>
  <c r="AK72" i="23"/>
  <c r="AJ72" i="23"/>
  <c r="AI72" i="23"/>
  <c r="AH72" i="23"/>
  <c r="AG72" i="23"/>
  <c r="AE72" i="23"/>
  <c r="AD72" i="23"/>
  <c r="AC72" i="23"/>
  <c r="AB72" i="23"/>
  <c r="AA72" i="23"/>
  <c r="Y72" i="23"/>
  <c r="X72" i="23"/>
  <c r="W72" i="23"/>
  <c r="V72" i="23"/>
  <c r="U72" i="23"/>
  <c r="S72" i="23"/>
  <c r="R72" i="23"/>
  <c r="Q72" i="23"/>
  <c r="P72" i="23"/>
  <c r="O72" i="23"/>
  <c r="M72" i="23"/>
  <c r="L72" i="23"/>
  <c r="K72" i="23"/>
  <c r="J72" i="23"/>
  <c r="I72" i="23"/>
  <c r="CT71" i="23"/>
  <c r="CN71" i="23"/>
  <c r="CH71" i="23"/>
  <c r="CB71" i="23"/>
  <c r="BV71" i="23"/>
  <c r="BP71" i="23"/>
  <c r="BJ71" i="23"/>
  <c r="BD71" i="23"/>
  <c r="AX71" i="23"/>
  <c r="AR71" i="23"/>
  <c r="AL71" i="23"/>
  <c r="AF71" i="23"/>
  <c r="Z71" i="23"/>
  <c r="T71" i="23"/>
  <c r="N71" i="23"/>
  <c r="G71" i="23"/>
  <c r="F71" i="23"/>
  <c r="E71" i="23"/>
  <c r="D71" i="23"/>
  <c r="C71" i="23"/>
  <c r="CT70" i="23"/>
  <c r="CT72" i="23" s="1"/>
  <c r="CN70" i="23"/>
  <c r="CN72" i="23" s="1"/>
  <c r="CH70" i="23"/>
  <c r="CB70" i="23"/>
  <c r="CB72" i="23" s="1"/>
  <c r="BV70" i="23"/>
  <c r="BV72" i="23" s="1"/>
  <c r="BP70" i="23"/>
  <c r="BP72" i="23" s="1"/>
  <c r="BJ70" i="23"/>
  <c r="BD70" i="23"/>
  <c r="AX70" i="23"/>
  <c r="AX72" i="23" s="1"/>
  <c r="AR70" i="23"/>
  <c r="AR72" i="23" s="1"/>
  <c r="AL70" i="23"/>
  <c r="AF70" i="23"/>
  <c r="AF72" i="23" s="1"/>
  <c r="Z70" i="23"/>
  <c r="Z72" i="23" s="1"/>
  <c r="T70" i="23"/>
  <c r="T72" i="23" s="1"/>
  <c r="N70" i="23"/>
  <c r="G70" i="23"/>
  <c r="G72" i="23" s="1"/>
  <c r="F70" i="23"/>
  <c r="F72" i="23" s="1"/>
  <c r="E70" i="23"/>
  <c r="E72" i="23" s="1"/>
  <c r="D70" i="23"/>
  <c r="D72" i="23" s="1"/>
  <c r="C70" i="23"/>
  <c r="CS63" i="23"/>
  <c r="CQ63" i="23"/>
  <c r="CP63" i="23"/>
  <c r="CP66" i="23" s="1"/>
  <c r="CO63" i="23"/>
  <c r="CM63" i="23"/>
  <c r="CK63" i="23"/>
  <c r="CK66" i="23" s="1"/>
  <c r="CI63" i="23"/>
  <c r="CG63" i="23"/>
  <c r="CE63" i="23"/>
  <c r="CD63" i="23"/>
  <c r="CC63" i="23"/>
  <c r="CA63" i="23"/>
  <c r="BY63" i="23"/>
  <c r="BX63" i="23"/>
  <c r="BX66" i="23" s="1"/>
  <c r="BW63" i="23"/>
  <c r="BU63" i="23"/>
  <c r="BS63" i="23"/>
  <c r="BR63" i="23"/>
  <c r="BR66" i="23" s="1"/>
  <c r="BQ63" i="23"/>
  <c r="BO63" i="23"/>
  <c r="BM63" i="23"/>
  <c r="BK63" i="23"/>
  <c r="BI63" i="23"/>
  <c r="BG63" i="23"/>
  <c r="BG66" i="23" s="1"/>
  <c r="BE63" i="23"/>
  <c r="BC63" i="23"/>
  <c r="BA63" i="23"/>
  <c r="BA66" i="23" s="1"/>
  <c r="AY63" i="23"/>
  <c r="AW63" i="23"/>
  <c r="AU63" i="23"/>
  <c r="AU66" i="23" s="1"/>
  <c r="AS63" i="23"/>
  <c r="AQ63" i="23"/>
  <c r="AO63" i="23"/>
  <c r="AN63" i="23"/>
  <c r="AN66" i="23" s="1"/>
  <c r="AM63" i="23"/>
  <c r="AK63" i="23"/>
  <c r="AI63" i="23"/>
  <c r="AH63" i="23"/>
  <c r="AG63" i="23"/>
  <c r="AE63" i="23"/>
  <c r="AC63" i="23"/>
  <c r="AA63" i="23"/>
  <c r="Y63" i="23"/>
  <c r="W63" i="23"/>
  <c r="V63" i="23"/>
  <c r="V66" i="23" s="1"/>
  <c r="U63" i="23"/>
  <c r="Q63" i="23"/>
  <c r="P63" i="23"/>
  <c r="P66" i="23" s="1"/>
  <c r="M63" i="23"/>
  <c r="K63" i="23"/>
  <c r="J63" i="23"/>
  <c r="J66" i="23" s="1"/>
  <c r="I63" i="23"/>
  <c r="CR61" i="23"/>
  <c r="CT61" i="23" s="1"/>
  <c r="CL61" i="23"/>
  <c r="CN61" i="23" s="1"/>
  <c r="CF61" i="23"/>
  <c r="CH61" i="23" s="1"/>
  <c r="BZ61" i="23"/>
  <c r="CB61" i="23" s="1"/>
  <c r="BT61" i="23"/>
  <c r="BV61" i="23" s="1"/>
  <c r="BL61" i="23"/>
  <c r="BN61" i="23" s="1"/>
  <c r="BP61" i="23" s="1"/>
  <c r="BH61" i="23"/>
  <c r="BJ61" i="23" s="1"/>
  <c r="BB61" i="23"/>
  <c r="BD61" i="23" s="1"/>
  <c r="AV61" i="23"/>
  <c r="AX61" i="23" s="1"/>
  <c r="AP61" i="23"/>
  <c r="AR61" i="23" s="1"/>
  <c r="AJ61" i="23"/>
  <c r="AL61" i="23" s="1"/>
  <c r="AB61" i="23"/>
  <c r="X61" i="23"/>
  <c r="Z61" i="23" s="1"/>
  <c r="R61" i="23"/>
  <c r="T61" i="23" s="1"/>
  <c r="L61" i="23"/>
  <c r="N61" i="23" s="1"/>
  <c r="G61" i="23"/>
  <c r="E61" i="23"/>
  <c r="C61" i="23"/>
  <c r="CR60" i="23"/>
  <c r="CT60" i="23" s="1"/>
  <c r="CL60" i="23"/>
  <c r="CN60" i="23" s="1"/>
  <c r="CF60" i="23"/>
  <c r="CH60" i="23" s="1"/>
  <c r="BZ60" i="23"/>
  <c r="CB60" i="23" s="1"/>
  <c r="BT60" i="23"/>
  <c r="BV60" i="23" s="1"/>
  <c r="BN60" i="23"/>
  <c r="BP60" i="23" s="1"/>
  <c r="BH60" i="23"/>
  <c r="BJ60" i="23" s="1"/>
  <c r="BB60" i="23"/>
  <c r="BD60" i="23" s="1"/>
  <c r="AV60" i="23"/>
  <c r="AX60" i="23" s="1"/>
  <c r="AP60" i="23"/>
  <c r="AR60" i="23" s="1"/>
  <c r="AJ60" i="23"/>
  <c r="AL60" i="23" s="1"/>
  <c r="AD60" i="23"/>
  <c r="AF60" i="23" s="1"/>
  <c r="X60" i="23"/>
  <c r="Z60" i="23" s="1"/>
  <c r="R60" i="23"/>
  <c r="T60" i="23" s="1"/>
  <c r="L60" i="23"/>
  <c r="N60" i="23" s="1"/>
  <c r="G60" i="23"/>
  <c r="E60" i="23"/>
  <c r="D60" i="23"/>
  <c r="C60" i="23"/>
  <c r="BN59" i="23"/>
  <c r="AJ59" i="23"/>
  <c r="AL59" i="23" s="1"/>
  <c r="R59" i="23"/>
  <c r="T59" i="23" s="1"/>
  <c r="G59" i="23"/>
  <c r="E59" i="23"/>
  <c r="D59" i="23"/>
  <c r="C59" i="23"/>
  <c r="CR58" i="23"/>
  <c r="CT58" i="23" s="1"/>
  <c r="CJ58" i="23"/>
  <c r="CF58" i="23"/>
  <c r="CH58" i="23" s="1"/>
  <c r="BZ58" i="23"/>
  <c r="CB58" i="23" s="1"/>
  <c r="BT58" i="23"/>
  <c r="BV58" i="23" s="1"/>
  <c r="BN58" i="23"/>
  <c r="BP58" i="23" s="1"/>
  <c r="BH58" i="23"/>
  <c r="BJ58" i="23" s="1"/>
  <c r="AZ58" i="23"/>
  <c r="BB58" i="23" s="1"/>
  <c r="BD58" i="23" s="1"/>
  <c r="AT58" i="23"/>
  <c r="AP58" i="23"/>
  <c r="AR58" i="23" s="1"/>
  <c r="AJ58" i="23"/>
  <c r="AL58" i="23" s="1"/>
  <c r="AD58" i="23"/>
  <c r="AF58" i="23" s="1"/>
  <c r="X58" i="23"/>
  <c r="Z58" i="23" s="1"/>
  <c r="R58" i="23"/>
  <c r="T58" i="23" s="1"/>
  <c r="L58" i="23"/>
  <c r="N58" i="23" s="1"/>
  <c r="G58" i="23"/>
  <c r="E58" i="23"/>
  <c r="C58" i="23"/>
  <c r="CR57" i="23"/>
  <c r="CT57" i="23" s="1"/>
  <c r="CL57" i="23"/>
  <c r="CN57" i="23" s="1"/>
  <c r="CF57" i="23"/>
  <c r="CH57" i="23" s="1"/>
  <c r="BZ57" i="23"/>
  <c r="CB57" i="23" s="1"/>
  <c r="BT57" i="23"/>
  <c r="BV57" i="23" s="1"/>
  <c r="BN57" i="23"/>
  <c r="BP57" i="23" s="1"/>
  <c r="BH57" i="23"/>
  <c r="BJ57" i="23" s="1"/>
  <c r="BB57" i="23"/>
  <c r="BD57" i="23" s="1"/>
  <c r="AV57" i="23"/>
  <c r="AX57" i="23" s="1"/>
  <c r="AP57" i="23"/>
  <c r="AR57" i="23" s="1"/>
  <c r="AJ57" i="23"/>
  <c r="AL57" i="23" s="1"/>
  <c r="AD57" i="23"/>
  <c r="AF57" i="23" s="1"/>
  <c r="X57" i="23"/>
  <c r="Z57" i="23" s="1"/>
  <c r="R57" i="23"/>
  <c r="T57" i="23" s="1"/>
  <c r="L57" i="23"/>
  <c r="N57" i="23" s="1"/>
  <c r="D57" i="23"/>
  <c r="C57" i="23"/>
  <c r="CR56" i="23"/>
  <c r="CT56" i="23" s="1"/>
  <c r="CL56" i="23"/>
  <c r="CN56" i="23" s="1"/>
  <c r="CF56" i="23"/>
  <c r="CH56" i="23" s="1"/>
  <c r="BZ56" i="23"/>
  <c r="CB56" i="23" s="1"/>
  <c r="BT56" i="23"/>
  <c r="BV56" i="23" s="1"/>
  <c r="BL56" i="23"/>
  <c r="BF56" i="23"/>
  <c r="AZ56" i="23"/>
  <c r="BB56" i="23" s="1"/>
  <c r="BD56" i="23" s="1"/>
  <c r="AV56" i="23"/>
  <c r="AX56" i="23" s="1"/>
  <c r="AP56" i="23"/>
  <c r="AR56" i="23" s="1"/>
  <c r="AJ56" i="23"/>
  <c r="AL56" i="23" s="1"/>
  <c r="AB56" i="23"/>
  <c r="AD56" i="23" s="1"/>
  <c r="AF56" i="23" s="1"/>
  <c r="X56" i="23"/>
  <c r="Z56" i="23" s="1"/>
  <c r="S56" i="23"/>
  <c r="G56" i="23" s="1"/>
  <c r="O56" i="23"/>
  <c r="L56" i="23"/>
  <c r="N56" i="23" s="1"/>
  <c r="E56" i="23"/>
  <c r="CR55" i="23"/>
  <c r="CT55" i="23" s="1"/>
  <c r="CL55" i="23"/>
  <c r="CN55" i="23" s="1"/>
  <c r="CF55" i="23"/>
  <c r="CH55" i="23" s="1"/>
  <c r="BZ55" i="23"/>
  <c r="CB55" i="23" s="1"/>
  <c r="BT55" i="23"/>
  <c r="BV55" i="23" s="1"/>
  <c r="BN55" i="23"/>
  <c r="BP55" i="23" s="1"/>
  <c r="BH55" i="23"/>
  <c r="BJ55" i="23" s="1"/>
  <c r="BB55" i="23"/>
  <c r="BD55" i="23" s="1"/>
  <c r="AV55" i="23"/>
  <c r="AX55" i="23" s="1"/>
  <c r="AP55" i="23"/>
  <c r="AR55" i="23" s="1"/>
  <c r="AJ55" i="23"/>
  <c r="AL55" i="23" s="1"/>
  <c r="AD55" i="23"/>
  <c r="AF55" i="23" s="1"/>
  <c r="X55" i="23"/>
  <c r="Z55" i="23" s="1"/>
  <c r="R55" i="23"/>
  <c r="T55" i="23" s="1"/>
  <c r="L55" i="23"/>
  <c r="N55" i="23" s="1"/>
  <c r="G55" i="23"/>
  <c r="E55" i="23"/>
  <c r="D55" i="23"/>
  <c r="C55" i="23"/>
  <c r="CR54" i="23"/>
  <c r="CT54" i="23" s="1"/>
  <c r="CL54" i="23"/>
  <c r="CN54" i="23" s="1"/>
  <c r="CF54" i="23"/>
  <c r="CH54" i="23" s="1"/>
  <c r="BZ54" i="23"/>
  <c r="CB54" i="23" s="1"/>
  <c r="BT54" i="23"/>
  <c r="BV54" i="23" s="1"/>
  <c r="BN54" i="23"/>
  <c r="BP54" i="23" s="1"/>
  <c r="BH54" i="23"/>
  <c r="BJ54" i="23" s="1"/>
  <c r="BB54" i="23"/>
  <c r="BD54" i="23" s="1"/>
  <c r="AV54" i="23"/>
  <c r="AX54" i="23" s="1"/>
  <c r="AP54" i="23"/>
  <c r="AR54" i="23" s="1"/>
  <c r="AJ54" i="23"/>
  <c r="AL54" i="23" s="1"/>
  <c r="AD54" i="23"/>
  <c r="AF54" i="23" s="1"/>
  <c r="X54" i="23"/>
  <c r="Z54" i="23" s="1"/>
  <c r="R54" i="23"/>
  <c r="T54" i="23" s="1"/>
  <c r="L54" i="23"/>
  <c r="N54" i="23" s="1"/>
  <c r="G54" i="23"/>
  <c r="E54" i="23"/>
  <c r="D54" i="23"/>
  <c r="C54" i="23"/>
  <c r="CR53" i="23"/>
  <c r="CT53" i="23" s="1"/>
  <c r="CL53" i="23"/>
  <c r="CN53" i="23" s="1"/>
  <c r="CF53" i="23"/>
  <c r="CH53" i="23" s="1"/>
  <c r="BZ53" i="23"/>
  <c r="CB53" i="23" s="1"/>
  <c r="BT53" i="23"/>
  <c r="BV53" i="23" s="1"/>
  <c r="BN53" i="23"/>
  <c r="BP53" i="23" s="1"/>
  <c r="BH53" i="23"/>
  <c r="BJ53" i="23" s="1"/>
  <c r="BB53" i="23"/>
  <c r="BD53" i="23" s="1"/>
  <c r="AV53" i="23"/>
  <c r="AX53" i="23" s="1"/>
  <c r="AP53" i="23"/>
  <c r="AR53" i="23" s="1"/>
  <c r="AJ53" i="23"/>
  <c r="AL53" i="23" s="1"/>
  <c r="AD53" i="23"/>
  <c r="AF53" i="23" s="1"/>
  <c r="X53" i="23"/>
  <c r="Z53" i="23" s="1"/>
  <c r="R53" i="23"/>
  <c r="T53" i="23" s="1"/>
  <c r="L53" i="23"/>
  <c r="N53" i="23" s="1"/>
  <c r="G53" i="23"/>
  <c r="E53" i="23"/>
  <c r="D53" i="23"/>
  <c r="C53" i="23"/>
  <c r="CR52" i="23"/>
  <c r="CT52" i="23" s="1"/>
  <c r="CL52" i="23"/>
  <c r="CN52" i="23" s="1"/>
  <c r="CF52" i="23"/>
  <c r="CH52" i="23" s="1"/>
  <c r="BZ52" i="23"/>
  <c r="CB52" i="23" s="1"/>
  <c r="BT52" i="23"/>
  <c r="BV52" i="23" s="1"/>
  <c r="BN52" i="23"/>
  <c r="BP52" i="23" s="1"/>
  <c r="BH52" i="23"/>
  <c r="BJ52" i="23" s="1"/>
  <c r="BB52" i="23"/>
  <c r="BD52" i="23" s="1"/>
  <c r="AV52" i="23"/>
  <c r="AX52" i="23" s="1"/>
  <c r="AP52" i="23"/>
  <c r="AR52" i="23" s="1"/>
  <c r="AJ52" i="23"/>
  <c r="AL52" i="23" s="1"/>
  <c r="AD52" i="23"/>
  <c r="AF52" i="23" s="1"/>
  <c r="X52" i="23"/>
  <c r="Z52" i="23" s="1"/>
  <c r="R52" i="23"/>
  <c r="T52" i="23" s="1"/>
  <c r="L52" i="23"/>
  <c r="N52" i="23" s="1"/>
  <c r="F52" i="23"/>
  <c r="CR51" i="23"/>
  <c r="CT51" i="23" s="1"/>
  <c r="CL51" i="23"/>
  <c r="CN51" i="23" s="1"/>
  <c r="CF51" i="23"/>
  <c r="CH51" i="23" s="1"/>
  <c r="BZ51" i="23"/>
  <c r="CB51" i="23" s="1"/>
  <c r="BT51" i="23"/>
  <c r="BV51" i="23" s="1"/>
  <c r="BN51" i="23"/>
  <c r="BP51" i="23" s="1"/>
  <c r="BH51" i="23"/>
  <c r="BJ51" i="23" s="1"/>
  <c r="BB51" i="23"/>
  <c r="BD51" i="23" s="1"/>
  <c r="AV51" i="23"/>
  <c r="AX51" i="23" s="1"/>
  <c r="AP51" i="23"/>
  <c r="AR51" i="23" s="1"/>
  <c r="AJ51" i="23"/>
  <c r="AL51" i="23" s="1"/>
  <c r="AD51" i="23"/>
  <c r="AF51" i="23" s="1"/>
  <c r="X51" i="23"/>
  <c r="Z51" i="23" s="1"/>
  <c r="R51" i="23"/>
  <c r="T51" i="23" s="1"/>
  <c r="L51" i="23"/>
  <c r="N51" i="23" s="1"/>
  <c r="G51" i="23"/>
  <c r="E51" i="23"/>
  <c r="D51" i="23"/>
  <c r="C51" i="23"/>
  <c r="CR50" i="23"/>
  <c r="CT50" i="23" s="1"/>
  <c r="CL50" i="23"/>
  <c r="CN50" i="23" s="1"/>
  <c r="CF50" i="23"/>
  <c r="CH50" i="23" s="1"/>
  <c r="BZ50" i="23"/>
  <c r="CB50" i="23" s="1"/>
  <c r="BT50" i="23"/>
  <c r="BV50" i="23" s="1"/>
  <c r="BN50" i="23"/>
  <c r="BP50" i="23" s="1"/>
  <c r="BH50" i="23"/>
  <c r="BJ50" i="23" s="1"/>
  <c r="BB50" i="23"/>
  <c r="BD50" i="23" s="1"/>
  <c r="AV50" i="23"/>
  <c r="AX50" i="23" s="1"/>
  <c r="AP50" i="23"/>
  <c r="AR50" i="23" s="1"/>
  <c r="AJ50" i="23"/>
  <c r="AL50" i="23" s="1"/>
  <c r="AD50" i="23"/>
  <c r="AF50" i="23" s="1"/>
  <c r="X50" i="23"/>
  <c r="Z50" i="23" s="1"/>
  <c r="R50" i="23"/>
  <c r="T50" i="23" s="1"/>
  <c r="L50" i="23"/>
  <c r="N50" i="23" s="1"/>
  <c r="G50" i="23"/>
  <c r="E50" i="23"/>
  <c r="D50" i="23"/>
  <c r="C50" i="23"/>
  <c r="CR49" i="23"/>
  <c r="CT49" i="23" s="1"/>
  <c r="CL49" i="23"/>
  <c r="CN49" i="23" s="1"/>
  <c r="CF49" i="23"/>
  <c r="CH49" i="23" s="1"/>
  <c r="BZ49" i="23"/>
  <c r="CB49" i="23" s="1"/>
  <c r="BT49" i="23"/>
  <c r="BV49" i="23" s="1"/>
  <c r="BN49" i="23"/>
  <c r="BP49" i="23" s="1"/>
  <c r="BH49" i="23"/>
  <c r="BJ49" i="23" s="1"/>
  <c r="BB49" i="23"/>
  <c r="BD49" i="23" s="1"/>
  <c r="AV49" i="23"/>
  <c r="AX49" i="23" s="1"/>
  <c r="AP49" i="23"/>
  <c r="AR49" i="23" s="1"/>
  <c r="AJ49" i="23"/>
  <c r="AL49" i="23" s="1"/>
  <c r="AD49" i="23"/>
  <c r="AF49" i="23" s="1"/>
  <c r="X49" i="23"/>
  <c r="Z49" i="23" s="1"/>
  <c r="R49" i="23"/>
  <c r="T49" i="23" s="1"/>
  <c r="L49" i="23"/>
  <c r="N49" i="23" s="1"/>
  <c r="G49" i="23"/>
  <c r="E49" i="23"/>
  <c r="D49" i="23"/>
  <c r="C49" i="23"/>
  <c r="CR48" i="23"/>
  <c r="CT48" i="23" s="1"/>
  <c r="CL48" i="23"/>
  <c r="CN48" i="23" s="1"/>
  <c r="CF48" i="23"/>
  <c r="CH48" i="23" s="1"/>
  <c r="BZ48" i="23"/>
  <c r="CB48" i="23" s="1"/>
  <c r="BT48" i="23"/>
  <c r="BV48" i="23" s="1"/>
  <c r="BN48" i="23"/>
  <c r="BP48" i="23" s="1"/>
  <c r="BH48" i="23"/>
  <c r="BJ48" i="23" s="1"/>
  <c r="BB48" i="23"/>
  <c r="BD48" i="23" s="1"/>
  <c r="AV48" i="23"/>
  <c r="AX48" i="23" s="1"/>
  <c r="AP48" i="23"/>
  <c r="AR48" i="23" s="1"/>
  <c r="AJ48" i="23"/>
  <c r="AL48" i="23" s="1"/>
  <c r="AD48" i="23"/>
  <c r="AF48" i="23" s="1"/>
  <c r="X48" i="23"/>
  <c r="Z48" i="23" s="1"/>
  <c r="R48" i="23"/>
  <c r="T48" i="23" s="1"/>
  <c r="L48" i="23"/>
  <c r="N48" i="23" s="1"/>
  <c r="G48" i="23"/>
  <c r="E48" i="23"/>
  <c r="D48" i="23"/>
  <c r="C48" i="23"/>
  <c r="CR47" i="23"/>
  <c r="CT47" i="23" s="1"/>
  <c r="CL47" i="23"/>
  <c r="CN47" i="23" s="1"/>
  <c r="CF47" i="23"/>
  <c r="CH47" i="23" s="1"/>
  <c r="BZ47" i="23"/>
  <c r="CB47" i="23" s="1"/>
  <c r="BT47" i="23"/>
  <c r="BV47" i="23" s="1"/>
  <c r="BN47" i="23"/>
  <c r="BP47" i="23" s="1"/>
  <c r="BH47" i="23"/>
  <c r="BJ47" i="23" s="1"/>
  <c r="BB47" i="23"/>
  <c r="BD47" i="23" s="1"/>
  <c r="AV47" i="23"/>
  <c r="AX47" i="23" s="1"/>
  <c r="AP47" i="23"/>
  <c r="AR47" i="23" s="1"/>
  <c r="AJ47" i="23"/>
  <c r="AL47" i="23" s="1"/>
  <c r="AD47" i="23"/>
  <c r="AF47" i="23" s="1"/>
  <c r="X47" i="23"/>
  <c r="Z47" i="23" s="1"/>
  <c r="R47" i="23"/>
  <c r="T47" i="23" s="1"/>
  <c r="L47" i="23"/>
  <c r="N47" i="23" s="1"/>
  <c r="G47" i="23"/>
  <c r="E47" i="23"/>
  <c r="D47" i="23"/>
  <c r="C47" i="23"/>
  <c r="CR46" i="23"/>
  <c r="CT46" i="23" s="1"/>
  <c r="CL46" i="23"/>
  <c r="CN46" i="23" s="1"/>
  <c r="CF46" i="23"/>
  <c r="CH46" i="23" s="1"/>
  <c r="BZ46" i="23"/>
  <c r="CB46" i="23" s="1"/>
  <c r="BT46" i="23"/>
  <c r="BV46" i="23" s="1"/>
  <c r="BN46" i="23"/>
  <c r="BP46" i="23" s="1"/>
  <c r="BH46" i="23"/>
  <c r="BJ46" i="23" s="1"/>
  <c r="BB46" i="23"/>
  <c r="BD46" i="23" s="1"/>
  <c r="AV46" i="23"/>
  <c r="AX46" i="23" s="1"/>
  <c r="AP46" i="23"/>
  <c r="AR46" i="23" s="1"/>
  <c r="AJ46" i="23"/>
  <c r="AL46" i="23" s="1"/>
  <c r="AD46" i="23"/>
  <c r="AF46" i="23" s="1"/>
  <c r="X46" i="23"/>
  <c r="Z46" i="23" s="1"/>
  <c r="R46" i="23"/>
  <c r="T46" i="23" s="1"/>
  <c r="L46" i="23"/>
  <c r="N46" i="23" s="1"/>
  <c r="G46" i="23"/>
  <c r="E46" i="23"/>
  <c r="D46" i="23"/>
  <c r="C46" i="23"/>
  <c r="CR45" i="23"/>
  <c r="CT45" i="23" s="1"/>
  <c r="CL45" i="23"/>
  <c r="CN45" i="23" s="1"/>
  <c r="CF45" i="23"/>
  <c r="CH45" i="23" s="1"/>
  <c r="BZ45" i="23"/>
  <c r="CB45" i="23" s="1"/>
  <c r="BT45" i="23"/>
  <c r="BV45" i="23" s="1"/>
  <c r="BN45" i="23"/>
  <c r="BP45" i="23" s="1"/>
  <c r="BH45" i="23"/>
  <c r="BJ45" i="23" s="1"/>
  <c r="BB45" i="23"/>
  <c r="BD45" i="23" s="1"/>
  <c r="AV45" i="23"/>
  <c r="AX45" i="23" s="1"/>
  <c r="AP45" i="23"/>
  <c r="AR45" i="23" s="1"/>
  <c r="AJ45" i="23"/>
  <c r="AL45" i="23" s="1"/>
  <c r="AD45" i="23"/>
  <c r="AF45" i="23" s="1"/>
  <c r="X45" i="23"/>
  <c r="Z45" i="23" s="1"/>
  <c r="R45" i="23"/>
  <c r="T45" i="23" s="1"/>
  <c r="L45" i="23"/>
  <c r="N45" i="23" s="1"/>
  <c r="G45" i="23"/>
  <c r="E45" i="23"/>
  <c r="D45" i="23"/>
  <c r="C45" i="23"/>
  <c r="CR44" i="23"/>
  <c r="CT44" i="23" s="1"/>
  <c r="CL44" i="23"/>
  <c r="CN44" i="23" s="1"/>
  <c r="CF44" i="23"/>
  <c r="CH44" i="23" s="1"/>
  <c r="BZ44" i="23"/>
  <c r="CB44" i="23" s="1"/>
  <c r="BT44" i="23"/>
  <c r="BV44" i="23" s="1"/>
  <c r="BN44" i="23"/>
  <c r="BP44" i="23" s="1"/>
  <c r="BH44" i="23"/>
  <c r="BJ44" i="23" s="1"/>
  <c r="BB44" i="23"/>
  <c r="BD44" i="23" s="1"/>
  <c r="AV44" i="23"/>
  <c r="AX44" i="23" s="1"/>
  <c r="AP44" i="23"/>
  <c r="AR44" i="23" s="1"/>
  <c r="AJ44" i="23"/>
  <c r="AL44" i="23" s="1"/>
  <c r="AD44" i="23"/>
  <c r="AF44" i="23" s="1"/>
  <c r="X44" i="23"/>
  <c r="Z44" i="23" s="1"/>
  <c r="R44" i="23"/>
  <c r="T44" i="23" s="1"/>
  <c r="L44" i="23"/>
  <c r="N44" i="23" s="1"/>
  <c r="CR43" i="23"/>
  <c r="CT43" i="23" s="1"/>
  <c r="CL43" i="23"/>
  <c r="CN43" i="23" s="1"/>
  <c r="CF43" i="23"/>
  <c r="CH43" i="23" s="1"/>
  <c r="BZ43" i="23"/>
  <c r="CB43" i="23" s="1"/>
  <c r="BT43" i="23"/>
  <c r="BV43" i="23" s="1"/>
  <c r="BN43" i="23"/>
  <c r="BP43" i="23" s="1"/>
  <c r="BH43" i="23"/>
  <c r="BJ43" i="23" s="1"/>
  <c r="BB43" i="23"/>
  <c r="BD43" i="23" s="1"/>
  <c r="AV43" i="23"/>
  <c r="AX43" i="23" s="1"/>
  <c r="AP43" i="23"/>
  <c r="AR43" i="23" s="1"/>
  <c r="AJ43" i="23"/>
  <c r="AL43" i="23" s="1"/>
  <c r="AD43" i="23"/>
  <c r="AF43" i="23" s="1"/>
  <c r="X43" i="23"/>
  <c r="Z43" i="23" s="1"/>
  <c r="R43" i="23"/>
  <c r="T43" i="23" s="1"/>
  <c r="L43" i="23"/>
  <c r="N43" i="23" s="1"/>
  <c r="G43" i="23"/>
  <c r="E43" i="23"/>
  <c r="D43" i="23"/>
  <c r="C43" i="23"/>
  <c r="CR42" i="23"/>
  <c r="CT42" i="23" s="1"/>
  <c r="CL42" i="23"/>
  <c r="CN42" i="23" s="1"/>
  <c r="CF42" i="23"/>
  <c r="CH42" i="23" s="1"/>
  <c r="BZ42" i="23"/>
  <c r="CB42" i="23" s="1"/>
  <c r="BT42" i="23"/>
  <c r="BV42" i="23" s="1"/>
  <c r="BN42" i="23"/>
  <c r="BP42" i="23" s="1"/>
  <c r="BH42" i="23"/>
  <c r="BJ42" i="23" s="1"/>
  <c r="BB42" i="23"/>
  <c r="BD42" i="23" s="1"/>
  <c r="AV42" i="23"/>
  <c r="AX42" i="23" s="1"/>
  <c r="AP42" i="23"/>
  <c r="AR42" i="23" s="1"/>
  <c r="AJ42" i="23"/>
  <c r="AL42" i="23" s="1"/>
  <c r="AD42" i="23"/>
  <c r="AF42" i="23" s="1"/>
  <c r="X42" i="23"/>
  <c r="Z42" i="23" s="1"/>
  <c r="R42" i="23"/>
  <c r="T42" i="23" s="1"/>
  <c r="L42" i="23"/>
  <c r="N42" i="23" s="1"/>
  <c r="G42" i="23"/>
  <c r="E42" i="23"/>
  <c r="D42" i="23"/>
  <c r="C42" i="23"/>
  <c r="CR41" i="23"/>
  <c r="CT41" i="23" s="1"/>
  <c r="CL41" i="23"/>
  <c r="CN41" i="23" s="1"/>
  <c r="CF41" i="23"/>
  <c r="CH41" i="23" s="1"/>
  <c r="BZ41" i="23"/>
  <c r="CB41" i="23" s="1"/>
  <c r="BT41" i="23"/>
  <c r="BV41" i="23" s="1"/>
  <c r="BN41" i="23"/>
  <c r="BP41" i="23" s="1"/>
  <c r="BH41" i="23"/>
  <c r="BJ41" i="23" s="1"/>
  <c r="BB41" i="23"/>
  <c r="BD41" i="23" s="1"/>
  <c r="AV41" i="23"/>
  <c r="AX41" i="23" s="1"/>
  <c r="AP41" i="23"/>
  <c r="AR41" i="23" s="1"/>
  <c r="AJ41" i="23"/>
  <c r="AL41" i="23" s="1"/>
  <c r="AD41" i="23"/>
  <c r="AF41" i="23" s="1"/>
  <c r="X41" i="23"/>
  <c r="Z41" i="23" s="1"/>
  <c r="R41" i="23"/>
  <c r="T41" i="23" s="1"/>
  <c r="L41" i="23"/>
  <c r="N41" i="23" s="1"/>
  <c r="CR40" i="23"/>
  <c r="CT40" i="23" s="1"/>
  <c r="CL40" i="23"/>
  <c r="CN40" i="23" s="1"/>
  <c r="CF40" i="23"/>
  <c r="CH40" i="23" s="1"/>
  <c r="BZ40" i="23"/>
  <c r="CB40" i="23" s="1"/>
  <c r="BT40" i="23"/>
  <c r="BV40" i="23" s="1"/>
  <c r="BN40" i="23"/>
  <c r="BP40" i="23" s="1"/>
  <c r="BH40" i="23"/>
  <c r="BJ40" i="23" s="1"/>
  <c r="BB40" i="23"/>
  <c r="BD40" i="23" s="1"/>
  <c r="AV40" i="23"/>
  <c r="AX40" i="23" s="1"/>
  <c r="AP40" i="23"/>
  <c r="AR40" i="23" s="1"/>
  <c r="AJ40" i="23"/>
  <c r="AL40" i="23" s="1"/>
  <c r="AD40" i="23"/>
  <c r="AF40" i="23" s="1"/>
  <c r="X40" i="23"/>
  <c r="Z40" i="23" s="1"/>
  <c r="R40" i="23"/>
  <c r="T40" i="23" s="1"/>
  <c r="L40" i="23"/>
  <c r="N40" i="23" s="1"/>
  <c r="G40" i="23"/>
  <c r="E40" i="23"/>
  <c r="D40" i="23"/>
  <c r="C40" i="23"/>
  <c r="CR39" i="23"/>
  <c r="CL39" i="23"/>
  <c r="CN39" i="23" s="1"/>
  <c r="CF39" i="23"/>
  <c r="CH39" i="23" s="1"/>
  <c r="BZ39" i="23"/>
  <c r="CB39" i="23" s="1"/>
  <c r="BT39" i="23"/>
  <c r="BN39" i="23"/>
  <c r="BP39" i="23" s="1"/>
  <c r="BH39" i="23"/>
  <c r="BB39" i="23"/>
  <c r="BD39" i="23" s="1"/>
  <c r="AV39" i="23"/>
  <c r="AP39" i="23"/>
  <c r="AR39" i="23" s="1"/>
  <c r="AJ39" i="23"/>
  <c r="AD39" i="23"/>
  <c r="AF39" i="23" s="1"/>
  <c r="X39" i="23"/>
  <c r="Z39" i="23" s="1"/>
  <c r="R39" i="23"/>
  <c r="T39" i="23" s="1"/>
  <c r="L39" i="23"/>
  <c r="G39" i="23"/>
  <c r="E39" i="23"/>
  <c r="D39" i="23"/>
  <c r="C39" i="23"/>
  <c r="CS32" i="23"/>
  <c r="CM32" i="23"/>
  <c r="CG32" i="23"/>
  <c r="CA32" i="23"/>
  <c r="BU32" i="23"/>
  <c r="BO32" i="23"/>
  <c r="BI32" i="23"/>
  <c r="BC32" i="23"/>
  <c r="AW32" i="23"/>
  <c r="AQ32" i="23"/>
  <c r="AK32" i="23"/>
  <c r="AE32" i="23"/>
  <c r="S32" i="23"/>
  <c r="M32" i="23"/>
  <c r="G32" i="23"/>
  <c r="CR31" i="23"/>
  <c r="CQ31" i="23"/>
  <c r="CP31" i="23"/>
  <c r="CO31" i="23"/>
  <c r="CL31" i="23"/>
  <c r="CK31" i="23"/>
  <c r="CJ31" i="23"/>
  <c r="CI31" i="23"/>
  <c r="CF31" i="23"/>
  <c r="CE31" i="23"/>
  <c r="CD31" i="23"/>
  <c r="CC31" i="23"/>
  <c r="BZ31" i="23"/>
  <c r="BY31" i="23"/>
  <c r="BX31" i="23"/>
  <c r="BW31" i="23"/>
  <c r="BT31" i="23"/>
  <c r="BS31" i="23"/>
  <c r="BR31" i="23"/>
  <c r="BQ31" i="23"/>
  <c r="BN31" i="23"/>
  <c r="BM31" i="23"/>
  <c r="BL31" i="23"/>
  <c r="BK31" i="23"/>
  <c r="BH31" i="23"/>
  <c r="BG31" i="23"/>
  <c r="BF31" i="23"/>
  <c r="BE31" i="23"/>
  <c r="BB31" i="23"/>
  <c r="BA31" i="23"/>
  <c r="AZ31" i="23"/>
  <c r="AY31" i="23"/>
  <c r="AV31" i="23"/>
  <c r="AU31" i="23"/>
  <c r="AT31" i="23"/>
  <c r="AS31" i="23"/>
  <c r="AP31" i="23"/>
  <c r="AO31" i="23"/>
  <c r="AN31" i="23"/>
  <c r="AM31" i="23"/>
  <c r="AJ31" i="23"/>
  <c r="AI31" i="23"/>
  <c r="AH31" i="23"/>
  <c r="AG31" i="23"/>
  <c r="AD31" i="23"/>
  <c r="AC31" i="23"/>
  <c r="AB31" i="23"/>
  <c r="X31" i="23"/>
  <c r="W31" i="23"/>
  <c r="V31" i="23"/>
  <c r="U31" i="23"/>
  <c r="R31" i="23"/>
  <c r="Q31" i="23"/>
  <c r="P31" i="23"/>
  <c r="L31" i="23"/>
  <c r="K31" i="23"/>
  <c r="J31" i="23"/>
  <c r="I31" i="23"/>
  <c r="CS29" i="23"/>
  <c r="CM29" i="23"/>
  <c r="CG29" i="23"/>
  <c r="CA29" i="23"/>
  <c r="BU29" i="23"/>
  <c r="BO29" i="23"/>
  <c r="BI29" i="23"/>
  <c r="BC29" i="23"/>
  <c r="AW29" i="23"/>
  <c r="AQ29" i="23"/>
  <c r="AK29" i="23"/>
  <c r="AA29" i="23"/>
  <c r="Y29" i="23"/>
  <c r="S29" i="23"/>
  <c r="M29" i="23"/>
  <c r="F29" i="23"/>
  <c r="E29" i="23"/>
  <c r="D29" i="23"/>
  <c r="CS28" i="23"/>
  <c r="CM28" i="23"/>
  <c r="CG28" i="23"/>
  <c r="CA28" i="23"/>
  <c r="BU28" i="23"/>
  <c r="BO28" i="23"/>
  <c r="BI28" i="23"/>
  <c r="BC28" i="23"/>
  <c r="AW28" i="23"/>
  <c r="AQ28" i="23"/>
  <c r="AK28" i="23"/>
  <c r="AE28" i="23"/>
  <c r="Y28" i="23"/>
  <c r="S28" i="23"/>
  <c r="M28" i="23"/>
  <c r="F28" i="23"/>
  <c r="E28" i="23"/>
  <c r="D28" i="23"/>
  <c r="C28" i="23"/>
  <c r="CS27" i="23"/>
  <c r="CM27" i="23"/>
  <c r="CG27" i="23"/>
  <c r="CA27" i="23"/>
  <c r="BU27" i="23"/>
  <c r="BO27" i="23"/>
  <c r="BI27" i="23"/>
  <c r="BC27" i="23"/>
  <c r="AW27" i="23"/>
  <c r="AQ27" i="23"/>
  <c r="AK27" i="23"/>
  <c r="AE27" i="23"/>
  <c r="Y27" i="23"/>
  <c r="S27" i="23"/>
  <c r="M27" i="23"/>
  <c r="F27" i="23"/>
  <c r="E27" i="23"/>
  <c r="D27" i="23"/>
  <c r="C27" i="23"/>
  <c r="CS26" i="23"/>
  <c r="CM26" i="23"/>
  <c r="CG26" i="23"/>
  <c r="CA26" i="23"/>
  <c r="BU26" i="23"/>
  <c r="BO26" i="23"/>
  <c r="BI26" i="23"/>
  <c r="BC26" i="23"/>
  <c r="AW26" i="23"/>
  <c r="AQ26" i="23"/>
  <c r="AK26" i="23"/>
  <c r="AE26" i="23"/>
  <c r="Y26" i="23"/>
  <c r="S26" i="23"/>
  <c r="M26" i="23"/>
  <c r="F26" i="23"/>
  <c r="E26" i="23"/>
  <c r="D26" i="23"/>
  <c r="C26" i="23"/>
  <c r="CS25" i="23"/>
  <c r="CM25" i="23"/>
  <c r="CG25" i="23"/>
  <c r="CA25" i="23"/>
  <c r="BU25" i="23"/>
  <c r="BO25" i="23"/>
  <c r="BI25" i="23"/>
  <c r="BC25" i="23"/>
  <c r="AW25" i="23"/>
  <c r="AQ25" i="23"/>
  <c r="AK25" i="23"/>
  <c r="AE25" i="23"/>
  <c r="Y25" i="23"/>
  <c r="S25" i="23"/>
  <c r="M25" i="23"/>
  <c r="F25" i="23"/>
  <c r="C25" i="23"/>
  <c r="CS24" i="23"/>
  <c r="CM24" i="23"/>
  <c r="CG24" i="23"/>
  <c r="CA24" i="23"/>
  <c r="BU24" i="23"/>
  <c r="BO24" i="23"/>
  <c r="BI24" i="23"/>
  <c r="BC24" i="23"/>
  <c r="AW24" i="23"/>
  <c r="AQ24" i="23"/>
  <c r="AK24" i="23"/>
  <c r="AA24" i="23"/>
  <c r="AA31" i="23" s="1"/>
  <c r="Y24" i="23"/>
  <c r="O24" i="23"/>
  <c r="M24" i="23"/>
  <c r="F24" i="23"/>
  <c r="E24" i="23"/>
  <c r="D24" i="23"/>
  <c r="CS23" i="23"/>
  <c r="CM23" i="23"/>
  <c r="CG23" i="23"/>
  <c r="CA23" i="23"/>
  <c r="BU23" i="23"/>
  <c r="BO23" i="23"/>
  <c r="BI23" i="23"/>
  <c r="BC23" i="23"/>
  <c r="AW23" i="23"/>
  <c r="AQ23" i="23"/>
  <c r="AK23" i="23"/>
  <c r="AE23" i="23"/>
  <c r="Y23" i="23"/>
  <c r="S23" i="23"/>
  <c r="M23" i="23"/>
  <c r="F23" i="23"/>
  <c r="E23" i="23"/>
  <c r="D23" i="23"/>
  <c r="C23" i="23"/>
  <c r="CS22" i="23"/>
  <c r="CM22" i="23"/>
  <c r="CG22" i="23"/>
  <c r="CA22" i="23"/>
  <c r="BU22" i="23"/>
  <c r="BO22" i="23"/>
  <c r="BI22" i="23"/>
  <c r="BC22" i="23"/>
  <c r="AW22" i="23"/>
  <c r="AQ22" i="23"/>
  <c r="AK22" i="23"/>
  <c r="AE22" i="23"/>
  <c r="Y22" i="23"/>
  <c r="S22" i="23"/>
  <c r="M22" i="23"/>
  <c r="F22" i="23"/>
  <c r="E22" i="23"/>
  <c r="D22" i="23"/>
  <c r="C22" i="23"/>
  <c r="CS21" i="23"/>
  <c r="CM21" i="23"/>
  <c r="CG21" i="23"/>
  <c r="CA21" i="23"/>
  <c r="BU21" i="23"/>
  <c r="BO21" i="23"/>
  <c r="BI21" i="23"/>
  <c r="BC21" i="23"/>
  <c r="AW21" i="23"/>
  <c r="AQ21" i="23"/>
  <c r="AK21" i="23"/>
  <c r="AE21" i="23"/>
  <c r="Y21" i="23"/>
  <c r="S21" i="23"/>
  <c r="M21" i="23"/>
  <c r="F21" i="23"/>
  <c r="E21" i="23"/>
  <c r="D21" i="23"/>
  <c r="C21" i="23"/>
  <c r="CS20" i="23"/>
  <c r="CM20" i="23"/>
  <c r="CG20" i="23"/>
  <c r="CA20" i="23"/>
  <c r="BU20" i="23"/>
  <c r="BO20" i="23"/>
  <c r="BI20" i="23"/>
  <c r="BC20" i="23"/>
  <c r="AW20" i="23"/>
  <c r="AQ20" i="23"/>
  <c r="AK20" i="23"/>
  <c r="AE20" i="23"/>
  <c r="Y20" i="23"/>
  <c r="S20" i="23"/>
  <c r="M20" i="23"/>
  <c r="F20" i="23"/>
  <c r="G20" i="23" s="1"/>
  <c r="CS19" i="23"/>
  <c r="CM19" i="23"/>
  <c r="CG19" i="23"/>
  <c r="CA19" i="23"/>
  <c r="BU19" i="23"/>
  <c r="BO19" i="23"/>
  <c r="BI19" i="23"/>
  <c r="BC19" i="23"/>
  <c r="AW19" i="23"/>
  <c r="AQ19" i="23"/>
  <c r="AK19" i="23"/>
  <c r="AE19" i="23"/>
  <c r="Y19" i="23"/>
  <c r="S19" i="23"/>
  <c r="M19" i="23"/>
  <c r="F19" i="23"/>
  <c r="E19" i="23"/>
  <c r="D19" i="23"/>
  <c r="C19" i="23"/>
  <c r="CS18" i="23"/>
  <c r="CM18" i="23"/>
  <c r="CG18" i="23"/>
  <c r="CA18" i="23"/>
  <c r="BU18" i="23"/>
  <c r="BO18" i="23"/>
  <c r="BI18" i="23"/>
  <c r="BC18" i="23"/>
  <c r="AW18" i="23"/>
  <c r="AQ18" i="23"/>
  <c r="AK18" i="23"/>
  <c r="AE18" i="23"/>
  <c r="Y18" i="23"/>
  <c r="S18" i="23"/>
  <c r="M18" i="23"/>
  <c r="F18" i="23"/>
  <c r="E18" i="23"/>
  <c r="D18" i="23"/>
  <c r="C18" i="23"/>
  <c r="CS17" i="23"/>
  <c r="CM17" i="23"/>
  <c r="CG17" i="23"/>
  <c r="CA17" i="23"/>
  <c r="BU17" i="23"/>
  <c r="BO17" i="23"/>
  <c r="BI17" i="23"/>
  <c r="BC17" i="23"/>
  <c r="AW17" i="23"/>
  <c r="AQ17" i="23"/>
  <c r="AK17" i="23"/>
  <c r="AE17" i="23"/>
  <c r="Y17" i="23"/>
  <c r="S17" i="23"/>
  <c r="M17" i="23"/>
  <c r="F17" i="23"/>
  <c r="E17" i="23"/>
  <c r="D17" i="23"/>
  <c r="C17" i="23"/>
  <c r="CS16" i="23"/>
  <c r="CM16" i="23"/>
  <c r="CG16" i="23"/>
  <c r="CA16" i="23"/>
  <c r="BU16" i="23"/>
  <c r="BO16" i="23"/>
  <c r="BI16" i="23"/>
  <c r="BC16" i="23"/>
  <c r="AW16" i="23"/>
  <c r="AQ16" i="23"/>
  <c r="AK16" i="23"/>
  <c r="AE16" i="23"/>
  <c r="Y16" i="23"/>
  <c r="S16" i="23"/>
  <c r="M16" i="23"/>
  <c r="F16" i="23"/>
  <c r="E16" i="23"/>
  <c r="D16" i="23"/>
  <c r="C16" i="23"/>
  <c r="CS15" i="23"/>
  <c r="CM15" i="23"/>
  <c r="CG15" i="23"/>
  <c r="CA15" i="23"/>
  <c r="BU15" i="23"/>
  <c r="BO15" i="23"/>
  <c r="BI15" i="23"/>
  <c r="BC15" i="23"/>
  <c r="AW15" i="23"/>
  <c r="AQ15" i="23"/>
  <c r="AK15" i="23"/>
  <c r="AE15" i="23"/>
  <c r="Y15" i="23"/>
  <c r="S15" i="23"/>
  <c r="M15" i="23"/>
  <c r="F15" i="23"/>
  <c r="E15" i="23"/>
  <c r="D15" i="23"/>
  <c r="C15" i="23"/>
  <c r="CS14" i="23"/>
  <c r="CM14" i="23"/>
  <c r="CG14" i="23"/>
  <c r="CA14" i="23"/>
  <c r="BU14" i="23"/>
  <c r="BO14" i="23"/>
  <c r="BI14" i="23"/>
  <c r="BC14" i="23"/>
  <c r="AW14" i="23"/>
  <c r="AQ14" i="23"/>
  <c r="AK14" i="23"/>
  <c r="AE14" i="23"/>
  <c r="Y14" i="23"/>
  <c r="S14" i="23"/>
  <c r="M14" i="23"/>
  <c r="F14" i="23"/>
  <c r="E14" i="23"/>
  <c r="D14" i="23"/>
  <c r="C14" i="23"/>
  <c r="CS13" i="23"/>
  <c r="CM13" i="23"/>
  <c r="CG13" i="23"/>
  <c r="CA13" i="23"/>
  <c r="BU13" i="23"/>
  <c r="BO13" i="23"/>
  <c r="BI13" i="23"/>
  <c r="BC13" i="23"/>
  <c r="AW13" i="23"/>
  <c r="AQ13" i="23"/>
  <c r="AK13" i="23"/>
  <c r="AE13" i="23"/>
  <c r="Y13" i="23"/>
  <c r="S13" i="23"/>
  <c r="M13" i="23"/>
  <c r="F13" i="23"/>
  <c r="E13" i="23"/>
  <c r="D13" i="23"/>
  <c r="C13" i="23"/>
  <c r="CS12" i="23"/>
  <c r="CM12" i="23"/>
  <c r="CG12" i="23"/>
  <c r="CA12" i="23"/>
  <c r="BU12" i="23"/>
  <c r="BO12" i="23"/>
  <c r="BI12" i="23"/>
  <c r="BC12" i="23"/>
  <c r="AW12" i="23"/>
  <c r="AQ12" i="23"/>
  <c r="AK12" i="23"/>
  <c r="AE12" i="23"/>
  <c r="Y12" i="23"/>
  <c r="S12" i="23"/>
  <c r="M12" i="23"/>
  <c r="CS11" i="23"/>
  <c r="CM11" i="23"/>
  <c r="CG11" i="23"/>
  <c r="CA11" i="23"/>
  <c r="BU11" i="23"/>
  <c r="BO11" i="23"/>
  <c r="BI11" i="23"/>
  <c r="BC11" i="23"/>
  <c r="AW11" i="23"/>
  <c r="AQ11" i="23"/>
  <c r="AK11" i="23"/>
  <c r="AE11" i="23"/>
  <c r="Y11" i="23"/>
  <c r="S11" i="23"/>
  <c r="M11" i="23"/>
  <c r="F11" i="23"/>
  <c r="E11" i="23"/>
  <c r="D11" i="23"/>
  <c r="C11" i="23"/>
  <c r="CS10" i="23"/>
  <c r="CM10" i="23"/>
  <c r="CG10" i="23"/>
  <c r="CA10" i="23"/>
  <c r="BU10" i="23"/>
  <c r="BO10" i="23"/>
  <c r="BI10" i="23"/>
  <c r="BC10" i="23"/>
  <c r="AW10" i="23"/>
  <c r="AQ10" i="23"/>
  <c r="AK10" i="23"/>
  <c r="AE10" i="23"/>
  <c r="Y10" i="23"/>
  <c r="S10" i="23"/>
  <c r="M10" i="23"/>
  <c r="F10" i="23"/>
  <c r="E10" i="23"/>
  <c r="D10" i="23"/>
  <c r="C10" i="23"/>
  <c r="CS9" i="23"/>
  <c r="CM9" i="23"/>
  <c r="CG9" i="23"/>
  <c r="CA9" i="23"/>
  <c r="BU9" i="23"/>
  <c r="BO9" i="23"/>
  <c r="BI9" i="23"/>
  <c r="BC9" i="23"/>
  <c r="AW9" i="23"/>
  <c r="AQ9" i="23"/>
  <c r="AK9" i="23"/>
  <c r="AE9" i="23"/>
  <c r="Y9" i="23"/>
  <c r="S9" i="23"/>
  <c r="M9" i="23"/>
  <c r="CS8" i="23"/>
  <c r="CM8" i="23"/>
  <c r="CG8" i="23"/>
  <c r="CA8" i="23"/>
  <c r="BU8" i="23"/>
  <c r="BO8" i="23"/>
  <c r="BI8" i="23"/>
  <c r="BC8" i="23"/>
  <c r="AW8" i="23"/>
  <c r="AQ8" i="23"/>
  <c r="AK8" i="23"/>
  <c r="AE8" i="23"/>
  <c r="Y8" i="23"/>
  <c r="S8" i="23"/>
  <c r="M8" i="23"/>
  <c r="F8" i="23"/>
  <c r="E8" i="23"/>
  <c r="D8" i="23"/>
  <c r="C8" i="23"/>
  <c r="CS7" i="23"/>
  <c r="CM7" i="23"/>
  <c r="CG7" i="23"/>
  <c r="CA7" i="23"/>
  <c r="BU7" i="23"/>
  <c r="BO7" i="23"/>
  <c r="BI7" i="23"/>
  <c r="BC7" i="23"/>
  <c r="AW7" i="23"/>
  <c r="AQ7" i="23"/>
  <c r="AK7" i="23"/>
  <c r="AE7" i="23"/>
  <c r="Y7" i="23"/>
  <c r="S7" i="23"/>
  <c r="M7" i="23"/>
  <c r="F7" i="23"/>
  <c r="E7" i="23"/>
  <c r="D7" i="23"/>
  <c r="C7" i="23"/>
  <c r="CS6" i="23"/>
  <c r="CM6" i="23"/>
  <c r="CG6" i="23"/>
  <c r="CA6" i="23"/>
  <c r="BU6" i="23"/>
  <c r="BO6" i="23"/>
  <c r="BI6" i="23"/>
  <c r="BC6" i="23"/>
  <c r="AW6" i="23"/>
  <c r="AQ6" i="23"/>
  <c r="AK6" i="23"/>
  <c r="AE6" i="23"/>
  <c r="Y6" i="23"/>
  <c r="S6" i="23"/>
  <c r="M6" i="23"/>
  <c r="L60" i="24"/>
  <c r="J60" i="24"/>
  <c r="G60" i="24"/>
  <c r="F60" i="24"/>
  <c r="B60" i="24"/>
  <c r="L59" i="24"/>
  <c r="K59" i="24"/>
  <c r="J59" i="24"/>
  <c r="I59" i="24"/>
  <c r="H59" i="24"/>
  <c r="G59" i="24"/>
  <c r="F59" i="24"/>
  <c r="E59" i="24"/>
  <c r="C59" i="24"/>
  <c r="N56" i="24"/>
  <c r="M56" i="24"/>
  <c r="N55" i="24"/>
  <c r="M55" i="24"/>
  <c r="N54" i="24"/>
  <c r="M54" i="24"/>
  <c r="N53" i="24"/>
  <c r="M53" i="24"/>
  <c r="N52" i="24"/>
  <c r="M52" i="24"/>
  <c r="N51" i="24"/>
  <c r="M51" i="24"/>
  <c r="M42" i="24"/>
  <c r="L42" i="24"/>
  <c r="K42" i="24"/>
  <c r="I42" i="24"/>
  <c r="H42" i="24"/>
  <c r="G42" i="24"/>
  <c r="E42" i="24"/>
  <c r="C42" i="24"/>
  <c r="B42" i="24"/>
  <c r="O39" i="24"/>
  <c r="O41" i="24" s="1"/>
  <c r="N42" i="24" s="1"/>
  <c r="N39" i="24"/>
  <c r="N41" i="24" s="1"/>
  <c r="L33" i="24"/>
  <c r="K33" i="24"/>
  <c r="J33" i="24"/>
  <c r="I33" i="24"/>
  <c r="H33" i="24"/>
  <c r="G33" i="24"/>
  <c r="F33" i="24"/>
  <c r="E33" i="24"/>
  <c r="C33" i="24"/>
  <c r="B33" i="24"/>
  <c r="N32" i="24"/>
  <c r="M33" i="24" s="1"/>
  <c r="M32" i="24"/>
  <c r="N31" i="24"/>
  <c r="M31" i="24"/>
  <c r="N30" i="24"/>
  <c r="M30" i="24"/>
  <c r="N29" i="24"/>
  <c r="M29" i="24"/>
  <c r="N28" i="24"/>
  <c r="M28" i="24"/>
  <c r="N27" i="24"/>
  <c r="M27" i="24"/>
  <c r="N26" i="24"/>
  <c r="M26" i="24"/>
  <c r="N25" i="24"/>
  <c r="M25" i="24"/>
  <c r="N24" i="24"/>
  <c r="M24" i="24"/>
  <c r="N23" i="24"/>
  <c r="M23" i="24"/>
  <c r="N22" i="24"/>
  <c r="M22" i="24"/>
  <c r="N21" i="24"/>
  <c r="M21" i="24"/>
  <c r="N20" i="24"/>
  <c r="M20" i="24"/>
  <c r="N19" i="24"/>
  <c r="M19" i="24"/>
  <c r="N18" i="24"/>
  <c r="M18" i="24"/>
  <c r="N17" i="24"/>
  <c r="M17" i="24"/>
  <c r="N16" i="24"/>
  <c r="M16" i="24"/>
  <c r="N15" i="24"/>
  <c r="M15" i="24"/>
  <c r="N14" i="24"/>
  <c r="M14" i="24"/>
  <c r="N13" i="24"/>
  <c r="M13" i="24"/>
  <c r="N12" i="24"/>
  <c r="M12" i="24"/>
  <c r="N11" i="24"/>
  <c r="M11" i="24"/>
  <c r="N10" i="24"/>
  <c r="M10" i="24"/>
  <c r="N9" i="24"/>
  <c r="M9" i="24"/>
  <c r="M8" i="24"/>
  <c r="B8" i="24"/>
  <c r="N8" i="24" s="1"/>
  <c r="C426" i="8"/>
  <c r="E323" i="8"/>
  <c r="E305" i="8"/>
  <c r="D304" i="8"/>
  <c r="C311" i="8"/>
  <c r="C313" i="8" s="1"/>
  <c r="E301" i="8"/>
  <c r="E300" i="8"/>
  <c r="D291" i="8"/>
  <c r="C287" i="8"/>
  <c r="C279" i="8"/>
  <c r="D268" i="8"/>
  <c r="C176" i="8"/>
  <c r="E175" i="8"/>
  <c r="E174" i="8"/>
  <c r="E172" i="8"/>
  <c r="C41" i="8"/>
  <c r="E40" i="8"/>
  <c r="E39" i="8"/>
  <c r="D36" i="8"/>
  <c r="C36" i="8"/>
  <c r="E35" i="8"/>
  <c r="E34" i="8"/>
  <c r="E33" i="8"/>
  <c r="E32" i="8"/>
  <c r="E31" i="8"/>
  <c r="C28" i="8"/>
  <c r="D24" i="8"/>
  <c r="E24" i="8" s="1"/>
  <c r="C20" i="8"/>
  <c r="E16" i="8"/>
  <c r="E742" i="8"/>
  <c r="E740" i="8"/>
  <c r="C610" i="8"/>
  <c r="C629" i="8" s="1"/>
  <c r="E596" i="8"/>
  <c r="E595" i="8"/>
  <c r="D506" i="8"/>
  <c r="C506" i="8"/>
  <c r="D497" i="8"/>
  <c r="D492" i="8"/>
  <c r="J21" i="30"/>
  <c r="F21" i="30"/>
  <c r="C21" i="30"/>
  <c r="B21" i="30"/>
  <c r="Q20" i="30"/>
  <c r="Q19" i="30"/>
  <c r="Q17" i="30"/>
  <c r="H15" i="30"/>
  <c r="G21" i="30"/>
  <c r="E15" i="30"/>
  <c r="E16" i="30" s="1"/>
  <c r="D15" i="30"/>
  <c r="A46" i="28"/>
  <c r="A37" i="20"/>
  <c r="B36" i="20"/>
  <c r="B35" i="20"/>
  <c r="B34" i="20"/>
  <c r="B33" i="20"/>
  <c r="B32" i="20"/>
  <c r="B31" i="20"/>
  <c r="B30" i="20"/>
  <c r="B29" i="20"/>
  <c r="B28" i="20"/>
  <c r="B27" i="20"/>
  <c r="B26" i="20"/>
  <c r="B25" i="20"/>
  <c r="B24" i="20"/>
  <c r="C24" i="20" s="1"/>
  <c r="B23" i="20"/>
  <c r="C23" i="20" s="1"/>
  <c r="B22" i="20"/>
  <c r="C22" i="20" s="1"/>
  <c r="B21" i="20"/>
  <c r="C21" i="20" s="1"/>
  <c r="B20" i="20"/>
  <c r="C20" i="20" s="1"/>
  <c r="B19" i="20"/>
  <c r="C19" i="20" s="1"/>
  <c r="B18" i="20"/>
  <c r="C18" i="20" s="1"/>
  <c r="B17" i="20"/>
  <c r="C17" i="20" s="1"/>
  <c r="B16" i="20"/>
  <c r="C16" i="20" s="1"/>
  <c r="B15" i="20"/>
  <c r="C15" i="20" s="1"/>
  <c r="B14" i="20"/>
  <c r="C14" i="20" s="1"/>
  <c r="I13" i="20"/>
  <c r="B13" i="20"/>
  <c r="C13" i="20" s="1"/>
  <c r="I12" i="20"/>
  <c r="B12" i="20"/>
  <c r="C12" i="20" s="1"/>
  <c r="B11" i="20"/>
  <c r="C11" i="20" s="1"/>
  <c r="B10" i="20"/>
  <c r="C10" i="20" s="1"/>
  <c r="B9" i="20"/>
  <c r="C9" i="20" s="1"/>
  <c r="B8" i="20"/>
  <c r="C8" i="20" s="1"/>
  <c r="B7" i="20"/>
  <c r="C7" i="20" s="1"/>
  <c r="B6" i="20"/>
  <c r="C6" i="20" s="1"/>
  <c r="I5" i="20"/>
  <c r="B5" i="20"/>
  <c r="C5" i="20" s="1"/>
  <c r="B4" i="20"/>
  <c r="C4" i="20" s="1"/>
  <c r="B3" i="20"/>
  <c r="C3" i="20" s="1"/>
  <c r="B2" i="20"/>
  <c r="G881" i="5"/>
  <c r="G880" i="5"/>
  <c r="G879" i="5"/>
  <c r="F872" i="5"/>
  <c r="F869" i="5" s="1"/>
  <c r="F871" i="5"/>
  <c r="G858" i="5"/>
  <c r="G857" i="5"/>
  <c r="G856" i="5"/>
  <c r="G855" i="5"/>
  <c r="G854" i="5"/>
  <c r="G846" i="5"/>
  <c r="G845" i="5"/>
  <c r="G844" i="5"/>
  <c r="G843" i="5"/>
  <c r="G842" i="5"/>
  <c r="G841" i="5"/>
  <c r="G840" i="5"/>
  <c r="G839" i="5"/>
  <c r="G838" i="5"/>
  <c r="G837" i="5"/>
  <c r="G836" i="5"/>
  <c r="G835" i="5"/>
  <c r="G834" i="5"/>
  <c r="G827" i="5"/>
  <c r="G826" i="5"/>
  <c r="G825" i="5"/>
  <c r="G824" i="5"/>
  <c r="G809" i="5"/>
  <c r="G808" i="5"/>
  <c r="G807" i="5"/>
  <c r="G806" i="5"/>
  <c r="G805" i="5"/>
  <c r="G804" i="5"/>
  <c r="G803" i="5"/>
  <c r="G802" i="5"/>
  <c r="G801" i="5"/>
  <c r="G787" i="5"/>
  <c r="G786" i="5"/>
  <c r="G785" i="5"/>
  <c r="G782" i="5"/>
  <c r="G781" i="5"/>
  <c r="G780" i="5"/>
  <c r="G779" i="5"/>
  <c r="G778" i="5"/>
  <c r="G777" i="5"/>
  <c r="G770" i="5"/>
  <c r="G769" i="5"/>
  <c r="G768" i="5"/>
  <c r="G767" i="5"/>
  <c r="G766" i="5"/>
  <c r="G765" i="5"/>
  <c r="F738" i="5"/>
  <c r="F737" i="5"/>
  <c r="F735" i="5"/>
  <c r="F734" i="5"/>
  <c r="F733" i="5"/>
  <c r="F732" i="5"/>
  <c r="F731" i="5"/>
  <c r="F730" i="5"/>
  <c r="F729" i="5"/>
  <c r="F728" i="5"/>
  <c r="F727" i="5"/>
  <c r="F726" i="5"/>
  <c r="F725" i="5"/>
  <c r="F724" i="5"/>
  <c r="F723" i="5"/>
  <c r="F722" i="5"/>
  <c r="F721" i="5"/>
  <c r="F720" i="5"/>
  <c r="F719" i="5"/>
  <c r="F718" i="5"/>
  <c r="F717" i="5"/>
  <c r="F716" i="5"/>
  <c r="F715" i="5"/>
  <c r="F714" i="5"/>
  <c r="F713" i="5"/>
  <c r="F712" i="5"/>
  <c r="F711" i="5"/>
  <c r="F710" i="5"/>
  <c r="F709" i="5"/>
  <c r="F708" i="5"/>
  <c r="F707" i="5"/>
  <c r="F706" i="5"/>
  <c r="F705" i="5"/>
  <c r="F704" i="5"/>
  <c r="F701" i="5"/>
  <c r="F700" i="5"/>
  <c r="F699" i="5"/>
  <c r="F698" i="5"/>
  <c r="F697" i="5"/>
  <c r="F696" i="5"/>
  <c r="F695" i="5"/>
  <c r="F694" i="5"/>
  <c r="F693" i="5"/>
  <c r="F692" i="5"/>
  <c r="F691" i="5"/>
  <c r="G677" i="5"/>
  <c r="G676" i="5"/>
  <c r="G675" i="5"/>
  <c r="G674" i="5"/>
  <c r="G663" i="5"/>
  <c r="G661" i="5"/>
  <c r="F659" i="5"/>
  <c r="F658" i="5"/>
  <c r="F657" i="5"/>
  <c r="F656" i="5"/>
  <c r="F654" i="5"/>
  <c r="F653" i="5"/>
  <c r="F652" i="5"/>
  <c r="F651" i="5"/>
  <c r="F650" i="5"/>
  <c r="F649" i="5"/>
  <c r="F648" i="5"/>
  <c r="F647" i="5"/>
  <c r="F646" i="5"/>
  <c r="F636" i="5"/>
  <c r="F635" i="5"/>
  <c r="F632" i="5"/>
  <c r="F631" i="5"/>
  <c r="F628" i="5"/>
  <c r="F627" i="5"/>
  <c r="F620" i="5"/>
  <c r="F619" i="5"/>
  <c r="F618" i="5"/>
  <c r="F617" i="5"/>
  <c r="F616" i="5"/>
  <c r="F615" i="5"/>
  <c r="F614" i="5"/>
  <c r="F611" i="5"/>
  <c r="F610" i="5"/>
  <c r="F609" i="5"/>
  <c r="F608" i="5"/>
  <c r="F607" i="5"/>
  <c r="F606" i="5"/>
  <c r="F605" i="5"/>
  <c r="F602" i="5"/>
  <c r="F601" i="5"/>
  <c r="F600" i="5"/>
  <c r="F599" i="5"/>
  <c r="F598" i="5"/>
  <c r="F597" i="5"/>
  <c r="F596" i="5"/>
  <c r="G586" i="5"/>
  <c r="G585" i="5"/>
  <c r="G584" i="5"/>
  <c r="G583" i="5"/>
  <c r="F573" i="5"/>
  <c r="F572" i="5"/>
  <c r="F571" i="5"/>
  <c r="F570" i="5"/>
  <c r="H570" i="5" s="1"/>
  <c r="F569" i="5"/>
  <c r="F566" i="5"/>
  <c r="F565" i="5"/>
  <c r="F563" i="5"/>
  <c r="F562" i="5"/>
  <c r="F561" i="5"/>
  <c r="F551" i="5"/>
  <c r="G551" i="5" s="1"/>
  <c r="F548" i="5"/>
  <c r="F547" i="5"/>
  <c r="F546" i="5"/>
  <c r="F545" i="5"/>
  <c r="G543" i="5"/>
  <c r="G542" i="5"/>
  <c r="F533" i="5"/>
  <c r="F531" i="5"/>
  <c r="F530" i="5"/>
  <c r="G520" i="5"/>
  <c r="F518" i="5"/>
  <c r="F516" i="5"/>
  <c r="F515" i="5"/>
  <c r="F514" i="5"/>
  <c r="F511" i="5"/>
  <c r="F509" i="5"/>
  <c r="F508" i="5"/>
  <c r="F507" i="5"/>
  <c r="F504" i="5"/>
  <c r="F503" i="5"/>
  <c r="F500" i="5"/>
  <c r="F498" i="5"/>
  <c r="F497" i="5"/>
  <c r="F496" i="5"/>
  <c r="F485" i="5"/>
  <c r="F484" i="5"/>
  <c r="F483" i="5"/>
  <c r="F479" i="5"/>
  <c r="F478" i="5"/>
  <c r="F477" i="5"/>
  <c r="G475" i="5"/>
  <c r="G474" i="5"/>
  <c r="F463" i="5"/>
  <c r="F461" i="5"/>
  <c r="F460" i="5"/>
  <c r="F459" i="5"/>
  <c r="F456" i="5"/>
  <c r="F454" i="5"/>
  <c r="F453" i="5"/>
  <c r="F452" i="5"/>
  <c r="F425" i="5"/>
  <c r="F424" i="5"/>
  <c r="F423" i="5"/>
  <c r="F422" i="5"/>
  <c r="F421" i="5"/>
  <c r="F420" i="5"/>
  <c r="F419" i="5"/>
  <c r="F418" i="5"/>
  <c r="F417" i="5"/>
  <c r="F405" i="5"/>
  <c r="F404" i="5"/>
  <c r="F403" i="5"/>
  <c r="F402" i="5"/>
  <c r="G399" i="5"/>
  <c r="F396" i="5"/>
  <c r="F395" i="5"/>
  <c r="F394" i="5"/>
  <c r="F393" i="5"/>
  <c r="F379" i="5"/>
  <c r="F377" i="5"/>
  <c r="F376" i="5"/>
  <c r="F375" i="5"/>
  <c r="F373" i="5"/>
  <c r="F371" i="5"/>
  <c r="F370" i="5"/>
  <c r="F369" i="5"/>
  <c r="F357" i="5"/>
  <c r="F355" i="5"/>
  <c r="F354" i="5"/>
  <c r="F353" i="5"/>
  <c r="F352" i="5"/>
  <c r="F351" i="5"/>
  <c r="F349" i="5"/>
  <c r="F348" i="5"/>
  <c r="F347" i="5"/>
  <c r="F343" i="5"/>
  <c r="F341" i="5"/>
  <c r="F339" i="5"/>
  <c r="F338" i="5"/>
  <c r="F335" i="5"/>
  <c r="F333" i="5"/>
  <c r="F332" i="5"/>
  <c r="F331" i="5"/>
  <c r="F328" i="5"/>
  <c r="F326" i="5"/>
  <c r="F325" i="5"/>
  <c r="F324" i="5"/>
  <c r="E317" i="5"/>
  <c r="D317" i="5"/>
  <c r="E316" i="5"/>
  <c r="D316" i="5"/>
  <c r="E315" i="5"/>
  <c r="D315" i="5"/>
  <c r="E314" i="5"/>
  <c r="D314" i="5"/>
  <c r="E313" i="5"/>
  <c r="D313" i="5"/>
  <c r="E312" i="5"/>
  <c r="D312" i="5"/>
  <c r="E311" i="5"/>
  <c r="D311" i="5"/>
  <c r="E310" i="5"/>
  <c r="D310" i="5"/>
  <c r="G302" i="5"/>
  <c r="F301" i="5"/>
  <c r="F300" i="5"/>
  <c r="F299" i="5"/>
  <c r="G295" i="5"/>
  <c r="F292" i="5"/>
  <c r="F291" i="5"/>
  <c r="G287" i="5"/>
  <c r="F285" i="5"/>
  <c r="F284" i="5"/>
  <c r="G282" i="5"/>
  <c r="G280" i="5"/>
  <c r="G278" i="5"/>
  <c r="G276" i="5"/>
  <c r="F269" i="5"/>
  <c r="F267" i="5"/>
  <c r="G264" i="5"/>
  <c r="G261" i="5"/>
  <c r="E261" i="5"/>
  <c r="F248" i="5"/>
  <c r="F246" i="5"/>
  <c r="F245" i="5"/>
  <c r="F244" i="5"/>
  <c r="F243" i="5"/>
  <c r="G239" i="5"/>
  <c r="G238" i="5"/>
  <c r="G237" i="5"/>
  <c r="G236" i="5"/>
  <c r="G235" i="5"/>
  <c r="G234" i="5"/>
  <c r="G233" i="5"/>
  <c r="G230" i="5"/>
  <c r="G229" i="5"/>
  <c r="G228" i="5"/>
  <c r="F220" i="5"/>
  <c r="F219" i="5"/>
  <c r="F218" i="5"/>
  <c r="F217" i="5"/>
  <c r="F216" i="5"/>
  <c r="F215" i="5"/>
  <c r="F214" i="5"/>
  <c r="F213" i="5"/>
  <c r="F212" i="5"/>
  <c r="F211" i="5"/>
  <c r="F210" i="5"/>
  <c r="F209" i="5"/>
  <c r="F208" i="5"/>
  <c r="F206" i="5"/>
  <c r="F205" i="5"/>
  <c r="G203" i="5"/>
  <c r="G202" i="5"/>
  <c r="G201" i="5"/>
  <c r="G190" i="5"/>
  <c r="F189" i="5"/>
  <c r="F188" i="5"/>
  <c r="G175" i="5"/>
  <c r="F173" i="5"/>
  <c r="F172" i="5"/>
  <c r="G161" i="5"/>
  <c r="G159" i="5"/>
  <c r="G158" i="5"/>
  <c r="G157" i="5"/>
  <c r="G156" i="5"/>
  <c r="G153" i="5"/>
  <c r="G152" i="5"/>
  <c r="F142" i="5"/>
  <c r="F141" i="5"/>
  <c r="F139" i="5"/>
  <c r="F138" i="5"/>
  <c r="G123" i="5"/>
  <c r="G124" i="5" s="1"/>
  <c r="F16" i="4" s="1"/>
  <c r="G119" i="5"/>
  <c r="G115" i="5"/>
  <c r="G111" i="5"/>
  <c r="G107" i="5"/>
  <c r="G103" i="5"/>
  <c r="G99" i="5"/>
  <c r="F86" i="5"/>
  <c r="D86" i="5"/>
  <c r="F85" i="5"/>
  <c r="D85" i="5"/>
  <c r="F84" i="5"/>
  <c r="D84" i="5"/>
  <c r="F83" i="5"/>
  <c r="D83" i="5"/>
  <c r="F82" i="5"/>
  <c r="D82" i="5"/>
  <c r="F81" i="5"/>
  <c r="D81" i="5"/>
  <c r="F78" i="5"/>
  <c r="D78" i="5"/>
  <c r="F77" i="5"/>
  <c r="D77" i="5"/>
  <c r="F76" i="5"/>
  <c r="F75" i="5"/>
  <c r="F70" i="5"/>
  <c r="D70" i="5"/>
  <c r="F68" i="5"/>
  <c r="D68" i="5"/>
  <c r="F67" i="5"/>
  <c r="F64" i="5"/>
  <c r="D64" i="5"/>
  <c r="F62" i="5"/>
  <c r="D62" i="5"/>
  <c r="F61" i="5"/>
  <c r="F58" i="5"/>
  <c r="D58" i="5"/>
  <c r="F56" i="5"/>
  <c r="D56" i="5"/>
  <c r="F55" i="5"/>
  <c r="F52" i="5"/>
  <c r="D52" i="5"/>
  <c r="F50" i="5"/>
  <c r="F49" i="5"/>
  <c r="F46" i="5"/>
  <c r="D46" i="5"/>
  <c r="F45" i="5"/>
  <c r="D45" i="5"/>
  <c r="F16" i="5"/>
  <c r="F12" i="5"/>
  <c r="F9" i="5"/>
  <c r="AI1007" i="7"/>
  <c r="AI1008" i="7" s="1"/>
  <c r="AG1007" i="7"/>
  <c r="AG1008" i="7" s="1"/>
  <c r="AE1007" i="7"/>
  <c r="AE1008" i="7" s="1"/>
  <c r="AC1007" i="7"/>
  <c r="AC1008" i="7" s="1"/>
  <c r="AA1007" i="7"/>
  <c r="AA1008" i="7" s="1"/>
  <c r="Y1007" i="7"/>
  <c r="Y1008" i="7" s="1"/>
  <c r="W1007" i="7"/>
  <c r="W1008" i="7" s="1"/>
  <c r="U1007" i="7"/>
  <c r="U1008" i="7" s="1"/>
  <c r="S1007" i="7"/>
  <c r="S1008" i="7" s="1"/>
  <c r="Q1007" i="7"/>
  <c r="Q1008" i="7" s="1"/>
  <c r="O1007" i="7"/>
  <c r="O1008" i="7" s="1"/>
  <c r="M1007" i="7"/>
  <c r="M1008" i="7" s="1"/>
  <c r="K1007" i="7"/>
  <c r="K1008" i="7" s="1"/>
  <c r="I1007" i="7"/>
  <c r="I1008" i="7" s="1"/>
  <c r="G1007" i="7"/>
  <c r="G1008" i="7" s="1"/>
  <c r="E1007" i="7"/>
  <c r="E1008" i="7" s="1"/>
  <c r="AI1004" i="7"/>
  <c r="AG1004" i="7"/>
  <c r="AE1004" i="7"/>
  <c r="AC1004" i="7"/>
  <c r="AA1004" i="7"/>
  <c r="Y1004" i="7"/>
  <c r="W1004" i="7"/>
  <c r="U1004" i="7"/>
  <c r="S1004" i="7"/>
  <c r="Q1004" i="7"/>
  <c r="O1004" i="7"/>
  <c r="M1004" i="7"/>
  <c r="K1004" i="7"/>
  <c r="I1004" i="7"/>
  <c r="G1004" i="7"/>
  <c r="D1004" i="7"/>
  <c r="D82" i="4" s="1"/>
  <c r="D1003" i="7"/>
  <c r="D81" i="4" s="1"/>
  <c r="D1002" i="7"/>
  <c r="D1001" i="7"/>
  <c r="AI997" i="7"/>
  <c r="AG997" i="7" s="1"/>
  <c r="AE997" i="7" s="1"/>
  <c r="AC997" i="7" s="1"/>
  <c r="AA997" i="7" s="1"/>
  <c r="Y997" i="7" s="1"/>
  <c r="W997" i="7" s="1"/>
  <c r="U997" i="7" s="1"/>
  <c r="S997" i="7" s="1"/>
  <c r="Q997" i="7" s="1"/>
  <c r="O997" i="7" s="1"/>
  <c r="M997" i="7" s="1"/>
  <c r="K997" i="7" s="1"/>
  <c r="I997" i="7" s="1"/>
  <c r="E995" i="7"/>
  <c r="E76" i="4" s="1"/>
  <c r="D988" i="7"/>
  <c r="D69" i="4" s="1"/>
  <c r="AH958" i="7"/>
  <c r="AF958" i="7"/>
  <c r="AD958" i="7"/>
  <c r="AB958" i="7"/>
  <c r="Z958" i="7"/>
  <c r="X958" i="7"/>
  <c r="V958" i="7"/>
  <c r="T958" i="7"/>
  <c r="R958" i="7"/>
  <c r="P958" i="7"/>
  <c r="N958" i="7"/>
  <c r="L958" i="7"/>
  <c r="J958" i="7"/>
  <c r="AH957" i="7"/>
  <c r="AF957" i="7"/>
  <c r="AD957" i="7"/>
  <c r="AB957" i="7"/>
  <c r="Z957" i="7"/>
  <c r="X957" i="7"/>
  <c r="V957" i="7"/>
  <c r="T957" i="7"/>
  <c r="R957" i="7"/>
  <c r="P957" i="7"/>
  <c r="N957" i="7"/>
  <c r="L957" i="7"/>
  <c r="J957" i="7"/>
  <c r="H957" i="7"/>
  <c r="D956" i="7"/>
  <c r="D955" i="7"/>
  <c r="D33" i="4" s="1"/>
  <c r="D954" i="7"/>
  <c r="D32" i="4" s="1"/>
  <c r="Z953" i="7"/>
  <c r="D953" i="7" s="1"/>
  <c r="D31" i="4" s="1"/>
  <c r="D939" i="7"/>
  <c r="D933" i="7"/>
  <c r="AF932" i="7"/>
  <c r="AD932" i="7"/>
  <c r="AB932" i="7"/>
  <c r="Z932" i="7"/>
  <c r="X932" i="7"/>
  <c r="V932" i="7"/>
  <c r="T932" i="7"/>
  <c r="R932" i="7"/>
  <c r="P932" i="7"/>
  <c r="N932" i="7"/>
  <c r="L932" i="7"/>
  <c r="J932" i="7"/>
  <c r="H932" i="7"/>
  <c r="AH931" i="7"/>
  <c r="AF931" i="7"/>
  <c r="AD931" i="7"/>
  <c r="AB931" i="7"/>
  <c r="Z931" i="7"/>
  <c r="X931" i="7"/>
  <c r="V931" i="7"/>
  <c r="T931" i="7"/>
  <c r="R931" i="7"/>
  <c r="P931" i="7"/>
  <c r="N931" i="7"/>
  <c r="L931" i="7"/>
  <c r="J931" i="7"/>
  <c r="H931" i="7"/>
  <c r="E920" i="7"/>
  <c r="E919" i="7"/>
  <c r="E918" i="7"/>
  <c r="AD912" i="7"/>
  <c r="D911" i="7"/>
  <c r="D872" i="5" s="1"/>
  <c r="D910" i="7"/>
  <c r="D871" i="5" s="1"/>
  <c r="D908" i="7"/>
  <c r="D869" i="5" s="1"/>
  <c r="D907" i="7"/>
  <c r="D868" i="5" s="1"/>
  <c r="AI899" i="7"/>
  <c r="AG899" i="7"/>
  <c r="AE899" i="7"/>
  <c r="AC899" i="7"/>
  <c r="AA899" i="7"/>
  <c r="Y899" i="7"/>
  <c r="W899" i="7"/>
  <c r="U899" i="7"/>
  <c r="S899" i="7"/>
  <c r="Q899" i="7"/>
  <c r="O899" i="7"/>
  <c r="M899" i="7"/>
  <c r="K899" i="7"/>
  <c r="I899" i="7"/>
  <c r="G899" i="7"/>
  <c r="E897" i="7"/>
  <c r="E858" i="5" s="1"/>
  <c r="E896" i="7"/>
  <c r="E857" i="5" s="1"/>
  <c r="E895" i="7"/>
  <c r="E856" i="5" s="1"/>
  <c r="E894" i="7"/>
  <c r="E855" i="5" s="1"/>
  <c r="E893" i="7"/>
  <c r="E854" i="5" s="1"/>
  <c r="AI887" i="7"/>
  <c r="AG887" i="7"/>
  <c r="AE887" i="7"/>
  <c r="AC887" i="7"/>
  <c r="AA887" i="7"/>
  <c r="Y887" i="7"/>
  <c r="W887" i="7"/>
  <c r="U887" i="7"/>
  <c r="S887" i="7"/>
  <c r="Q887" i="7"/>
  <c r="O887" i="7"/>
  <c r="M887" i="7"/>
  <c r="K887" i="7"/>
  <c r="I887" i="7"/>
  <c r="G887" i="7"/>
  <c r="E885" i="7"/>
  <c r="E846" i="5" s="1"/>
  <c r="E884" i="7"/>
  <c r="E845" i="5" s="1"/>
  <c r="E883" i="7"/>
  <c r="E844" i="5" s="1"/>
  <c r="E882" i="7"/>
  <c r="E843" i="5" s="1"/>
  <c r="E881" i="7"/>
  <c r="E842" i="5" s="1"/>
  <c r="E880" i="7"/>
  <c r="E841" i="5" s="1"/>
  <c r="E879" i="7"/>
  <c r="E840" i="5" s="1"/>
  <c r="E878" i="7"/>
  <c r="E839" i="5" s="1"/>
  <c r="E877" i="7"/>
  <c r="E838" i="5" s="1"/>
  <c r="E876" i="7"/>
  <c r="E837" i="5" s="1"/>
  <c r="E875" i="7"/>
  <c r="E836" i="5" s="1"/>
  <c r="E874" i="7"/>
  <c r="E835" i="5" s="1"/>
  <c r="E873" i="7"/>
  <c r="E834" i="5" s="1"/>
  <c r="AI867" i="7"/>
  <c r="AG867" i="7"/>
  <c r="AE867" i="7"/>
  <c r="AC867" i="7"/>
  <c r="AA867" i="7"/>
  <c r="Y867" i="7"/>
  <c r="W867" i="7"/>
  <c r="U867" i="7"/>
  <c r="S867" i="7"/>
  <c r="Q867" i="7"/>
  <c r="O867" i="7"/>
  <c r="M867" i="7"/>
  <c r="K867" i="7"/>
  <c r="I867" i="7"/>
  <c r="G867" i="7"/>
  <c r="E866" i="7"/>
  <c r="E827" i="5" s="1"/>
  <c r="E865" i="7"/>
  <c r="E826" i="5" s="1"/>
  <c r="E864" i="7"/>
  <c r="E825" i="5" s="1"/>
  <c r="E863" i="7"/>
  <c r="E824" i="5" s="1"/>
  <c r="AI844" i="7"/>
  <c r="AI993" i="7" s="1"/>
  <c r="AG844" i="7"/>
  <c r="AG993" i="7" s="1"/>
  <c r="AE844" i="7"/>
  <c r="AE993" i="7" s="1"/>
  <c r="AC844" i="7"/>
  <c r="AC993" i="7" s="1"/>
  <c r="AA844" i="7"/>
  <c r="AA993" i="7" s="1"/>
  <c r="Y844" i="7"/>
  <c r="Y993" i="7" s="1"/>
  <c r="W844" i="7"/>
  <c r="W993" i="7" s="1"/>
  <c r="U844" i="7"/>
  <c r="U993" i="7" s="1"/>
  <c r="S844" i="7"/>
  <c r="S993" i="7" s="1"/>
  <c r="Q844" i="7"/>
  <c r="Q993" i="7" s="1"/>
  <c r="O844" i="7"/>
  <c r="O993" i="7" s="1"/>
  <c r="M844" i="7"/>
  <c r="M993" i="7" s="1"/>
  <c r="K844" i="7"/>
  <c r="K993" i="7" s="1"/>
  <c r="I844" i="7"/>
  <c r="I993" i="7" s="1"/>
  <c r="E843" i="7"/>
  <c r="E809" i="5" s="1"/>
  <c r="G842" i="7"/>
  <c r="E841" i="7"/>
  <c r="E807" i="5" s="1"/>
  <c r="E840" i="7"/>
  <c r="E806" i="5" s="1"/>
  <c r="E839" i="7"/>
  <c r="E805" i="5" s="1"/>
  <c r="E838" i="7"/>
  <c r="E804" i="5" s="1"/>
  <c r="E837" i="7"/>
  <c r="E803" i="5" s="1"/>
  <c r="E836" i="7"/>
  <c r="E802" i="5" s="1"/>
  <c r="E835" i="7"/>
  <c r="AI822" i="7"/>
  <c r="AG822" i="7"/>
  <c r="AE822" i="7"/>
  <c r="AC822" i="7"/>
  <c r="AA822" i="7"/>
  <c r="Y822" i="7"/>
  <c r="W822" i="7"/>
  <c r="U822" i="7"/>
  <c r="S822" i="7"/>
  <c r="Q822" i="7"/>
  <c r="O822" i="7"/>
  <c r="M822" i="7"/>
  <c r="K822" i="7"/>
  <c r="I822" i="7"/>
  <c r="G822" i="7"/>
  <c r="E821" i="7"/>
  <c r="E787" i="5" s="1"/>
  <c r="E820" i="7"/>
  <c r="E786" i="5" s="1"/>
  <c r="E819" i="7"/>
  <c r="AI817" i="7"/>
  <c r="AG817" i="7"/>
  <c r="AE817" i="7"/>
  <c r="AC817" i="7"/>
  <c r="AA817" i="7"/>
  <c r="Y817" i="7"/>
  <c r="W817" i="7"/>
  <c r="U817" i="7"/>
  <c r="S817" i="7"/>
  <c r="Q817" i="7"/>
  <c r="O817" i="7"/>
  <c r="M817" i="7"/>
  <c r="K817" i="7"/>
  <c r="I817" i="7"/>
  <c r="G817" i="7"/>
  <c r="E816" i="7"/>
  <c r="E782" i="5" s="1"/>
  <c r="E815" i="7"/>
  <c r="E781" i="5" s="1"/>
  <c r="E814" i="7"/>
  <c r="E780" i="5" s="1"/>
  <c r="E813" i="7"/>
  <c r="E779" i="5" s="1"/>
  <c r="E812" i="7"/>
  <c r="E778" i="5" s="1"/>
  <c r="E811" i="7"/>
  <c r="E777" i="5" s="1"/>
  <c r="AI805" i="7"/>
  <c r="AG805" i="7"/>
  <c r="AF754" i="7" s="1"/>
  <c r="AE805" i="7"/>
  <c r="AC805" i="7"/>
  <c r="AA805" i="7"/>
  <c r="Z754" i="7" s="1"/>
  <c r="Y805" i="7"/>
  <c r="X754" i="7" s="1"/>
  <c r="W805" i="7"/>
  <c r="U805" i="7"/>
  <c r="T754" i="7" s="1"/>
  <c r="S805" i="7"/>
  <c r="R754" i="7" s="1"/>
  <c r="Q805" i="7"/>
  <c r="P754" i="7" s="1"/>
  <c r="O805" i="7"/>
  <c r="M805" i="7"/>
  <c r="L754" i="7" s="1"/>
  <c r="K805" i="7"/>
  <c r="J754" i="7" s="1"/>
  <c r="I805" i="7"/>
  <c r="H754" i="7" s="1"/>
  <c r="G805" i="7"/>
  <c r="F754" i="7" s="1"/>
  <c r="E804" i="7"/>
  <c r="E770" i="5" s="1"/>
  <c r="E803" i="7"/>
  <c r="E769" i="5" s="1"/>
  <c r="E802" i="7"/>
  <c r="E768" i="5" s="1"/>
  <c r="E801" i="7"/>
  <c r="E767" i="5" s="1"/>
  <c r="E800" i="7"/>
  <c r="E766" i="5" s="1"/>
  <c r="E799" i="7"/>
  <c r="E794" i="7"/>
  <c r="E793" i="7"/>
  <c r="E792" i="7"/>
  <c r="E758" i="5" s="1"/>
  <c r="E787" i="7"/>
  <c r="E786" i="7"/>
  <c r="E785" i="7"/>
  <c r="AI771" i="7"/>
  <c r="AC771" i="7"/>
  <c r="O771" i="7"/>
  <c r="D771" i="7"/>
  <c r="D738" i="5" s="1"/>
  <c r="D770" i="7"/>
  <c r="D737" i="5" s="1"/>
  <c r="D769" i="7"/>
  <c r="D736" i="5" s="1"/>
  <c r="F768" i="7"/>
  <c r="D768" i="7" s="1"/>
  <c r="D735" i="5" s="1"/>
  <c r="D767" i="7"/>
  <c r="D734" i="5" s="1"/>
  <c r="D765" i="7"/>
  <c r="D732" i="5" s="1"/>
  <c r="D764" i="7"/>
  <c r="D731" i="5" s="1"/>
  <c r="F763" i="7"/>
  <c r="D763" i="7" s="1"/>
  <c r="D730" i="5" s="1"/>
  <c r="AF762" i="7"/>
  <c r="D762" i="7" s="1"/>
  <c r="D729" i="5" s="1"/>
  <c r="D761" i="7"/>
  <c r="D728" i="5" s="1"/>
  <c r="D760" i="7"/>
  <c r="D727" i="5" s="1"/>
  <c r="D759" i="7"/>
  <c r="D726" i="5" s="1"/>
  <c r="D758" i="7"/>
  <c r="D725" i="5" s="1"/>
  <c r="D757" i="7"/>
  <c r="D724" i="5" s="1"/>
  <c r="D756" i="7"/>
  <c r="D723" i="5" s="1"/>
  <c r="D755" i="7"/>
  <c r="D722" i="5" s="1"/>
  <c r="V754" i="7"/>
  <c r="W771" i="7" s="1"/>
  <c r="D753" i="7"/>
  <c r="D720" i="5" s="1"/>
  <c r="D752" i="7"/>
  <c r="D719" i="5" s="1"/>
  <c r="D751" i="7"/>
  <c r="D718" i="5" s="1"/>
  <c r="D750" i="7"/>
  <c r="D717" i="5" s="1"/>
  <c r="D749" i="7"/>
  <c r="D716" i="5" s="1"/>
  <c r="D748" i="7"/>
  <c r="D715" i="5" s="1"/>
  <c r="D747" i="7"/>
  <c r="D714" i="5" s="1"/>
  <c r="D746" i="7"/>
  <c r="D713" i="5" s="1"/>
  <c r="D745" i="7"/>
  <c r="D712" i="5" s="1"/>
  <c r="D744" i="7"/>
  <c r="D711" i="5" s="1"/>
  <c r="D743" i="7"/>
  <c r="D710" i="5" s="1"/>
  <c r="D742" i="7"/>
  <c r="D709" i="5" s="1"/>
  <c r="D741" i="7"/>
  <c r="D708" i="5" s="1"/>
  <c r="D740" i="7"/>
  <c r="D707" i="5" s="1"/>
  <c r="D739" i="7"/>
  <c r="D706" i="5" s="1"/>
  <c r="D738" i="7"/>
  <c r="D705" i="5" s="1"/>
  <c r="D737" i="7"/>
  <c r="D704" i="5" s="1"/>
  <c r="AI734" i="7"/>
  <c r="AG734" i="7"/>
  <c r="AE734" i="7"/>
  <c r="AC734" i="7"/>
  <c r="AA734" i="7"/>
  <c r="Y734" i="7"/>
  <c r="W734" i="7"/>
  <c r="U734" i="7"/>
  <c r="S734" i="7"/>
  <c r="Q734" i="7"/>
  <c r="O734" i="7"/>
  <c r="M734" i="7"/>
  <c r="K734" i="7"/>
  <c r="I734" i="7"/>
  <c r="G734" i="7"/>
  <c r="D734" i="7"/>
  <c r="D701" i="5" s="1"/>
  <c r="D733" i="7"/>
  <c r="D700" i="5" s="1"/>
  <c r="D732" i="7"/>
  <c r="D699" i="5" s="1"/>
  <c r="D731" i="7"/>
  <c r="D698" i="5" s="1"/>
  <c r="D730" i="7"/>
  <c r="D697" i="5" s="1"/>
  <c r="D729" i="7"/>
  <c r="D696" i="5" s="1"/>
  <c r="D728" i="7"/>
  <c r="D695" i="5" s="1"/>
  <c r="D727" i="7"/>
  <c r="D694" i="5" s="1"/>
  <c r="D726" i="7"/>
  <c r="D693" i="5" s="1"/>
  <c r="D725" i="7"/>
  <c r="D692" i="5" s="1"/>
  <c r="D724" i="7"/>
  <c r="AI712" i="7"/>
  <c r="AH987" i="7" s="1"/>
  <c r="AG712" i="7"/>
  <c r="AF987" i="7" s="1"/>
  <c r="AE712" i="7"/>
  <c r="AD987" i="7" s="1"/>
  <c r="AC712" i="7"/>
  <c r="AB987" i="7" s="1"/>
  <c r="AA712" i="7"/>
  <c r="Z987" i="7" s="1"/>
  <c r="Y712" i="7"/>
  <c r="X987" i="7" s="1"/>
  <c r="W712" i="7"/>
  <c r="V987" i="7" s="1"/>
  <c r="U712" i="7"/>
  <c r="T987" i="7" s="1"/>
  <c r="S712" i="7"/>
  <c r="R987" i="7" s="1"/>
  <c r="Q712" i="7"/>
  <c r="P987" i="7" s="1"/>
  <c r="O712" i="7"/>
  <c r="N987" i="7" s="1"/>
  <c r="M712" i="7"/>
  <c r="L987" i="7" s="1"/>
  <c r="K712" i="7"/>
  <c r="J987" i="7" s="1"/>
  <c r="I712" i="7"/>
  <c r="H987" i="7" s="1"/>
  <c r="E711" i="7"/>
  <c r="E677" i="5" s="1"/>
  <c r="E710" i="7"/>
  <c r="E676" i="5" s="1"/>
  <c r="E709" i="7"/>
  <c r="E675" i="5" s="1"/>
  <c r="G708" i="7"/>
  <c r="E708" i="7" s="1"/>
  <c r="E674" i="5" s="1"/>
  <c r="AG696" i="7"/>
  <c r="Q696" i="7"/>
  <c r="I696" i="7"/>
  <c r="G696" i="7"/>
  <c r="E694" i="7"/>
  <c r="E661" i="5" s="1"/>
  <c r="AI692" i="7"/>
  <c r="AG692" i="7"/>
  <c r="AE692" i="7"/>
  <c r="AC692" i="7"/>
  <c r="AA692" i="7"/>
  <c r="Y692" i="7"/>
  <c r="W692" i="7"/>
  <c r="U692" i="7"/>
  <c r="S692" i="7"/>
  <c r="Q692" i="7"/>
  <c r="O692" i="7"/>
  <c r="M692" i="7"/>
  <c r="K692" i="7"/>
  <c r="I692" i="7"/>
  <c r="G692" i="7"/>
  <c r="D692" i="7"/>
  <c r="D659" i="5" s="1"/>
  <c r="D691" i="7"/>
  <c r="D658" i="5" s="1"/>
  <c r="D690" i="7"/>
  <c r="D657" i="5" s="1"/>
  <c r="D689" i="7"/>
  <c r="D656" i="5" s="1"/>
  <c r="AI687" i="7"/>
  <c r="AG687" i="7"/>
  <c r="AE687" i="7"/>
  <c r="AC687" i="7"/>
  <c r="AA687" i="7"/>
  <c r="Y687" i="7"/>
  <c r="W687" i="7"/>
  <c r="U687" i="7"/>
  <c r="S687" i="7"/>
  <c r="O687" i="7"/>
  <c r="M687" i="7"/>
  <c r="K687" i="7"/>
  <c r="I687" i="7"/>
  <c r="D687" i="7"/>
  <c r="D654" i="5" s="1"/>
  <c r="D686" i="7"/>
  <c r="D653" i="5" s="1"/>
  <c r="F685" i="7"/>
  <c r="P684" i="7"/>
  <c r="F684" i="7"/>
  <c r="D683" i="7"/>
  <c r="D650" i="5" s="1"/>
  <c r="D682" i="7"/>
  <c r="D649" i="5" s="1"/>
  <c r="F681" i="7"/>
  <c r="D681" i="7" s="1"/>
  <c r="D648" i="5" s="1"/>
  <c r="D680" i="7"/>
  <c r="D647" i="5" s="1"/>
  <c r="D679" i="7"/>
  <c r="D646" i="5" s="1"/>
  <c r="AI670" i="7"/>
  <c r="AG670" i="7"/>
  <c r="AE670" i="7"/>
  <c r="AC670" i="7"/>
  <c r="AA670" i="7"/>
  <c r="Y670" i="7"/>
  <c r="W670" i="7"/>
  <c r="U670" i="7"/>
  <c r="S670" i="7"/>
  <c r="Q670" i="7"/>
  <c r="O670" i="7"/>
  <c r="M670" i="7"/>
  <c r="K670" i="7"/>
  <c r="I670" i="7"/>
  <c r="G670" i="7"/>
  <c r="D669" i="7"/>
  <c r="D636" i="5" s="1"/>
  <c r="D668" i="7"/>
  <c r="AI666" i="7"/>
  <c r="AG666" i="7"/>
  <c r="AE666" i="7"/>
  <c r="AC666" i="7"/>
  <c r="AA666" i="7"/>
  <c r="Y666" i="7"/>
  <c r="W666" i="7"/>
  <c r="U666" i="7"/>
  <c r="S666" i="7"/>
  <c r="Q666" i="7"/>
  <c r="O666" i="7"/>
  <c r="M666" i="7"/>
  <c r="K666" i="7"/>
  <c r="I666" i="7"/>
  <c r="G666" i="7"/>
  <c r="D665" i="7"/>
  <c r="D632" i="5" s="1"/>
  <c r="D664" i="7"/>
  <c r="AI662" i="7"/>
  <c r="AG662" i="7"/>
  <c r="AE662" i="7"/>
  <c r="AC662" i="7"/>
  <c r="AA662" i="7"/>
  <c r="Y662" i="7"/>
  <c r="W662" i="7"/>
  <c r="U662" i="7"/>
  <c r="S662" i="7"/>
  <c r="Q662" i="7"/>
  <c r="O662" i="7"/>
  <c r="M662" i="7"/>
  <c r="K662" i="7"/>
  <c r="I662" i="7"/>
  <c r="G662" i="7"/>
  <c r="D661" i="7"/>
  <c r="D628" i="5" s="1"/>
  <c r="D660" i="7"/>
  <c r="AI651" i="7"/>
  <c r="AG651" i="7"/>
  <c r="AC651" i="7"/>
  <c r="AA651" i="7"/>
  <c r="Y651" i="7"/>
  <c r="U651" i="7"/>
  <c r="S651" i="7"/>
  <c r="Q651" i="7"/>
  <c r="O651" i="7"/>
  <c r="K651" i="7"/>
  <c r="I651" i="7"/>
  <c r="G651" i="7"/>
  <c r="D651" i="7"/>
  <c r="D620" i="5" s="1"/>
  <c r="D650" i="7"/>
  <c r="D619" i="5" s="1"/>
  <c r="D649" i="7"/>
  <c r="D618" i="5" s="1"/>
  <c r="D648" i="7"/>
  <c r="D617" i="5" s="1"/>
  <c r="D647" i="7"/>
  <c r="D616" i="5" s="1"/>
  <c r="D646" i="7"/>
  <c r="D615" i="5" s="1"/>
  <c r="AD645" i="7"/>
  <c r="AE651" i="7" s="1"/>
  <c r="V645" i="7"/>
  <c r="W651" i="7" s="1"/>
  <c r="L645" i="7"/>
  <c r="M651" i="7" s="1"/>
  <c r="AI642" i="7"/>
  <c r="AG642" i="7"/>
  <c r="AE642" i="7"/>
  <c r="AC642" i="7"/>
  <c r="AA642" i="7"/>
  <c r="Y642" i="7"/>
  <c r="W642" i="7"/>
  <c r="U642" i="7"/>
  <c r="S642" i="7"/>
  <c r="Q642" i="7"/>
  <c r="O642" i="7"/>
  <c r="M642" i="7"/>
  <c r="K642" i="7"/>
  <c r="I642" i="7"/>
  <c r="G642" i="7"/>
  <c r="D642" i="7"/>
  <c r="D611" i="5" s="1"/>
  <c r="D641" i="7"/>
  <c r="D610" i="5" s="1"/>
  <c r="D640" i="7"/>
  <c r="D609" i="5" s="1"/>
  <c r="D639" i="7"/>
  <c r="D608" i="5" s="1"/>
  <c r="D638" i="7"/>
  <c r="D607" i="5" s="1"/>
  <c r="D637" i="7"/>
  <c r="D606" i="5" s="1"/>
  <c r="D636" i="7"/>
  <c r="D605" i="5" s="1"/>
  <c r="AI633" i="7"/>
  <c r="AG633" i="7"/>
  <c r="AE633" i="7"/>
  <c r="AC633" i="7"/>
  <c r="AA633" i="7"/>
  <c r="AA652" i="7" s="1"/>
  <c r="Z984" i="7" s="1"/>
  <c r="Y633" i="7"/>
  <c r="W633" i="7"/>
  <c r="U633" i="7"/>
  <c r="S633" i="7"/>
  <c r="Q633" i="7"/>
  <c r="O633" i="7"/>
  <c r="M633" i="7"/>
  <c r="K633" i="7"/>
  <c r="I633" i="7"/>
  <c r="G633" i="7"/>
  <c r="D633" i="7"/>
  <c r="D602" i="5" s="1"/>
  <c r="D632" i="7"/>
  <c r="D601" i="5" s="1"/>
  <c r="D631" i="7"/>
  <c r="D600" i="5" s="1"/>
  <c r="D630" i="7"/>
  <c r="D599" i="5" s="1"/>
  <c r="D629" i="7"/>
  <c r="D598" i="5" s="1"/>
  <c r="D628" i="7"/>
  <c r="D597" i="5" s="1"/>
  <c r="D627" i="7"/>
  <c r="D596" i="5" s="1"/>
  <c r="AI620" i="7"/>
  <c r="AH983" i="7" s="1"/>
  <c r="AG620" i="7"/>
  <c r="AF983" i="7" s="1"/>
  <c r="AE620" i="7"/>
  <c r="AD983" i="7" s="1"/>
  <c r="AC620" i="7"/>
  <c r="AB983" i="7" s="1"/>
  <c r="AA620" i="7"/>
  <c r="Z983" i="7" s="1"/>
  <c r="Y620" i="7"/>
  <c r="X983" i="7" s="1"/>
  <c r="W620" i="7"/>
  <c r="V983" i="7" s="1"/>
  <c r="U620" i="7"/>
  <c r="T983" i="7" s="1"/>
  <c r="S620" i="7"/>
  <c r="R983" i="7" s="1"/>
  <c r="Q620" i="7"/>
  <c r="P983" i="7" s="1"/>
  <c r="O620" i="7"/>
  <c r="N983" i="7" s="1"/>
  <c r="M620" i="7"/>
  <c r="L983" i="7" s="1"/>
  <c r="K620" i="7"/>
  <c r="J983" i="7" s="1"/>
  <c r="I620" i="7"/>
  <c r="H983" i="7" s="1"/>
  <c r="G620" i="7"/>
  <c r="F983" i="7" s="1"/>
  <c r="E618" i="7"/>
  <c r="E586" i="5" s="1"/>
  <c r="E617" i="7"/>
  <c r="E585" i="5" s="1"/>
  <c r="E616" i="7"/>
  <c r="E584" i="5" s="1"/>
  <c r="E615" i="7"/>
  <c r="E583" i="5" s="1"/>
  <c r="AI605" i="7"/>
  <c r="AG605" i="7"/>
  <c r="AE605" i="7"/>
  <c r="AC605" i="7"/>
  <c r="AA605" i="7"/>
  <c r="Y605" i="7"/>
  <c r="U605" i="7"/>
  <c r="S605" i="7"/>
  <c r="Q605" i="7"/>
  <c r="O605" i="7"/>
  <c r="M605" i="7"/>
  <c r="K605" i="7"/>
  <c r="I605" i="7"/>
  <c r="D605" i="7"/>
  <c r="D573" i="5" s="1"/>
  <c r="D604" i="7"/>
  <c r="D572" i="5" s="1"/>
  <c r="V603" i="7"/>
  <c r="W605" i="7" s="1"/>
  <c r="F603" i="7"/>
  <c r="G605" i="7" s="1"/>
  <c r="D602" i="7"/>
  <c r="D601" i="7"/>
  <c r="D569" i="5" s="1"/>
  <c r="E600" i="7"/>
  <c r="E599" i="7"/>
  <c r="E567" i="5" s="1"/>
  <c r="AI598" i="7"/>
  <c r="AG598" i="7"/>
  <c r="AE598" i="7"/>
  <c r="AC598" i="7"/>
  <c r="AA598" i="7"/>
  <c r="Y598" i="7"/>
  <c r="W598" i="7"/>
  <c r="U598" i="7"/>
  <c r="S598" i="7"/>
  <c r="Q598" i="7"/>
  <c r="O598" i="7"/>
  <c r="M598" i="7"/>
  <c r="K598" i="7"/>
  <c r="I598" i="7"/>
  <c r="G598" i="7"/>
  <c r="D598" i="7"/>
  <c r="D566" i="5" s="1"/>
  <c r="D597" i="7"/>
  <c r="D565" i="5" s="1"/>
  <c r="AI595" i="7"/>
  <c r="AG595" i="7"/>
  <c r="AE595" i="7"/>
  <c r="AC595" i="7"/>
  <c r="AA595" i="7"/>
  <c r="Y595" i="7"/>
  <c r="W595" i="7"/>
  <c r="U595" i="7"/>
  <c r="S595" i="7"/>
  <c r="Q595" i="7"/>
  <c r="O595" i="7"/>
  <c r="M595" i="7"/>
  <c r="K595" i="7"/>
  <c r="I595" i="7"/>
  <c r="F595" i="7"/>
  <c r="G595" i="7" s="1"/>
  <c r="D594" i="7"/>
  <c r="D593" i="7"/>
  <c r="D561" i="5" s="1"/>
  <c r="AI581" i="7"/>
  <c r="AG581" i="7"/>
  <c r="AE581" i="7"/>
  <c r="AC581" i="7"/>
  <c r="AA581" i="7"/>
  <c r="Y581" i="7"/>
  <c r="W581" i="7"/>
  <c r="U581" i="7"/>
  <c r="S581" i="7"/>
  <c r="Q581" i="7"/>
  <c r="O581" i="7"/>
  <c r="M581" i="7"/>
  <c r="K581" i="7"/>
  <c r="I581" i="7"/>
  <c r="G581" i="7"/>
  <c r="D581" i="7"/>
  <c r="D551" i="5" s="1"/>
  <c r="E551" i="5" s="1"/>
  <c r="AI578" i="7"/>
  <c r="AI579" i="7" s="1"/>
  <c r="AI582" i="7" s="1"/>
  <c r="AG578" i="7"/>
  <c r="AG579" i="7" s="1"/>
  <c r="AG582" i="7" s="1"/>
  <c r="AF978" i="7" s="1"/>
  <c r="AE578" i="7"/>
  <c r="AE579" i="7" s="1"/>
  <c r="AE582" i="7" s="1"/>
  <c r="AD978" i="7" s="1"/>
  <c r="AC578" i="7"/>
  <c r="AC579" i="7" s="1"/>
  <c r="AA578" i="7"/>
  <c r="AA579" i="7" s="1"/>
  <c r="AA582" i="7" s="1"/>
  <c r="Z978" i="7" s="1"/>
  <c r="Y578" i="7"/>
  <c r="Y579" i="7" s="1"/>
  <c r="Y582" i="7" s="1"/>
  <c r="X978" i="7" s="1"/>
  <c r="W578" i="7"/>
  <c r="W579" i="7" s="1"/>
  <c r="W582" i="7" s="1"/>
  <c r="V978" i="7" s="1"/>
  <c r="U578" i="7"/>
  <c r="U579" i="7" s="1"/>
  <c r="S578" i="7"/>
  <c r="S579" i="7" s="1"/>
  <c r="S582" i="7" s="1"/>
  <c r="R978" i="7" s="1"/>
  <c r="Q578" i="7"/>
  <c r="Q579" i="7" s="1"/>
  <c r="Q582" i="7" s="1"/>
  <c r="P978" i="7" s="1"/>
  <c r="O578" i="7"/>
  <c r="O579" i="7" s="1"/>
  <c r="O582" i="7" s="1"/>
  <c r="N978" i="7" s="1"/>
  <c r="M578" i="7"/>
  <c r="M579" i="7" s="1"/>
  <c r="K578" i="7"/>
  <c r="K579" i="7" s="1"/>
  <c r="K582" i="7" s="1"/>
  <c r="J978" i="7" s="1"/>
  <c r="I578" i="7"/>
  <c r="I579" i="7" s="1"/>
  <c r="I582" i="7" s="1"/>
  <c r="H978" i="7" s="1"/>
  <c r="G578" i="7"/>
  <c r="G579" i="7" s="1"/>
  <c r="G582" i="7" s="1"/>
  <c r="F978" i="7" s="1"/>
  <c r="D578" i="7"/>
  <c r="D548" i="5" s="1"/>
  <c r="D577" i="7"/>
  <c r="D547" i="5" s="1"/>
  <c r="D576" i="7"/>
  <c r="D546" i="5" s="1"/>
  <c r="D575" i="7"/>
  <c r="D545" i="5" s="1"/>
  <c r="E573" i="7"/>
  <c r="E543" i="5" s="1"/>
  <c r="E572" i="7"/>
  <c r="X536" i="7"/>
  <c r="V536" i="7"/>
  <c r="P536" i="7"/>
  <c r="L536" i="7"/>
  <c r="D532" i="7"/>
  <c r="D533" i="5" s="1"/>
  <c r="AH531" i="7"/>
  <c r="AI532" i="7" s="1"/>
  <c r="AI534" i="7" s="1"/>
  <c r="AH968" i="7" s="1"/>
  <c r="AF531" i="7"/>
  <c r="AG532" i="7" s="1"/>
  <c r="AG534" i="7" s="1"/>
  <c r="AF968" i="7" s="1"/>
  <c r="AD531" i="7"/>
  <c r="AE532" i="7" s="1"/>
  <c r="AE534" i="7" s="1"/>
  <c r="AD968" i="7" s="1"/>
  <c r="AB531" i="7"/>
  <c r="AC532" i="7" s="1"/>
  <c r="AC534" i="7" s="1"/>
  <c r="AB968" i="7" s="1"/>
  <c r="Z531" i="7"/>
  <c r="AA532" i="7" s="1"/>
  <c r="AA534" i="7" s="1"/>
  <c r="Z968" i="7" s="1"/>
  <c r="X531" i="7"/>
  <c r="Y532" i="7" s="1"/>
  <c r="Y534" i="7" s="1"/>
  <c r="X968" i="7" s="1"/>
  <c r="V531" i="7"/>
  <c r="W532" i="7" s="1"/>
  <c r="W534" i="7" s="1"/>
  <c r="V968" i="7" s="1"/>
  <c r="T531" i="7"/>
  <c r="U532" i="7" s="1"/>
  <c r="U534" i="7" s="1"/>
  <c r="T968" i="7" s="1"/>
  <c r="R531" i="7"/>
  <c r="S532" i="7" s="1"/>
  <c r="S534" i="7" s="1"/>
  <c r="R968" i="7" s="1"/>
  <c r="P531" i="7"/>
  <c r="Q532" i="7" s="1"/>
  <c r="Q534" i="7" s="1"/>
  <c r="P968" i="7" s="1"/>
  <c r="N531" i="7"/>
  <c r="O532" i="7" s="1"/>
  <c r="O534" i="7" s="1"/>
  <c r="N968" i="7" s="1"/>
  <c r="J531" i="7"/>
  <c r="K532" i="7" s="1"/>
  <c r="K534" i="7" s="1"/>
  <c r="J968" i="7" s="1"/>
  <c r="H531" i="7"/>
  <c r="I532" i="7" s="1"/>
  <c r="I534" i="7" s="1"/>
  <c r="H968" i="7" s="1"/>
  <c r="F531" i="7"/>
  <c r="G532" i="7" s="1"/>
  <c r="G534" i="7" s="1"/>
  <c r="F968" i="7" s="1"/>
  <c r="D530" i="7"/>
  <c r="D531" i="5" s="1"/>
  <c r="L529" i="7"/>
  <c r="E519" i="7"/>
  <c r="E520" i="5" s="1"/>
  <c r="AF517" i="7"/>
  <c r="AD517" i="7"/>
  <c r="Z517" i="7"/>
  <c r="T517" i="7"/>
  <c r="N517" i="7"/>
  <c r="J517" i="7"/>
  <c r="F517" i="7"/>
  <c r="AH516" i="7"/>
  <c r="AI517" i="7" s="1"/>
  <c r="AF516" i="7"/>
  <c r="AG517" i="7" s="1"/>
  <c r="AD516" i="7"/>
  <c r="AB516" i="7"/>
  <c r="AC517" i="7" s="1"/>
  <c r="Z516" i="7"/>
  <c r="X516" i="7"/>
  <c r="Y517" i="7" s="1"/>
  <c r="V516" i="7"/>
  <c r="W517" i="7" s="1"/>
  <c r="T516" i="7"/>
  <c r="R516" i="7"/>
  <c r="S517" i="7" s="1"/>
  <c r="P516" i="7"/>
  <c r="Q517" i="7" s="1"/>
  <c r="N516" i="7"/>
  <c r="L516" i="7"/>
  <c r="M517" i="7" s="1"/>
  <c r="J516" i="7"/>
  <c r="H516" i="7"/>
  <c r="I517" i="7" s="1"/>
  <c r="F516" i="7"/>
  <c r="D515" i="7"/>
  <c r="D516" i="5" s="1"/>
  <c r="D514" i="7"/>
  <c r="D513" i="7"/>
  <c r="D514" i="5" s="1"/>
  <c r="AH510" i="7"/>
  <c r="AF510" i="7"/>
  <c r="AD510" i="7"/>
  <c r="AB510" i="7"/>
  <c r="Z510" i="7"/>
  <c r="X510" i="7"/>
  <c r="V510" i="7"/>
  <c r="T510" i="7"/>
  <c r="N510" i="7"/>
  <c r="J510" i="7"/>
  <c r="H510" i="7"/>
  <c r="F510" i="7"/>
  <c r="AH509" i="7"/>
  <c r="AF509" i="7"/>
  <c r="AG510" i="7" s="1"/>
  <c r="AD509" i="7"/>
  <c r="AB509" i="7"/>
  <c r="AC510" i="7" s="1"/>
  <c r="Z509" i="7"/>
  <c r="AA510" i="7" s="1"/>
  <c r="V509" i="7"/>
  <c r="T509" i="7"/>
  <c r="R509" i="7"/>
  <c r="S510" i="7" s="1"/>
  <c r="P509" i="7"/>
  <c r="Q510" i="7" s="1"/>
  <c r="N509" i="7"/>
  <c r="L509" i="7"/>
  <c r="M510" i="7" s="1"/>
  <c r="H509" i="7"/>
  <c r="I510" i="7" s="1"/>
  <c r="F509" i="7"/>
  <c r="D508" i="7"/>
  <c r="D509" i="5" s="1"/>
  <c r="X507" i="7"/>
  <c r="J506" i="7"/>
  <c r="D506" i="7" s="1"/>
  <c r="AI504" i="7"/>
  <c r="AG504" i="7"/>
  <c r="AE504" i="7"/>
  <c r="AC504" i="7"/>
  <c r="AA504" i="7"/>
  <c r="Y504" i="7"/>
  <c r="W504" i="7"/>
  <c r="U504" i="7"/>
  <c r="S504" i="7"/>
  <c r="Q504" i="7"/>
  <c r="O504" i="7"/>
  <c r="M504" i="7"/>
  <c r="K504" i="7"/>
  <c r="I504" i="7"/>
  <c r="G504" i="7"/>
  <c r="D503" i="7"/>
  <c r="D504" i="5" s="1"/>
  <c r="D502" i="7"/>
  <c r="D503" i="5" s="1"/>
  <c r="F500" i="7"/>
  <c r="D500" i="7" s="1"/>
  <c r="D500" i="5" s="1"/>
  <c r="AH499" i="7"/>
  <c r="AI500" i="7" s="1"/>
  <c r="AF499" i="7"/>
  <c r="AG500" i="7" s="1"/>
  <c r="AD499" i="7"/>
  <c r="AE500" i="7" s="1"/>
  <c r="AB499" i="7"/>
  <c r="AC500" i="7" s="1"/>
  <c r="Z499" i="7"/>
  <c r="AA500" i="7" s="1"/>
  <c r="X499" i="7"/>
  <c r="Y500" i="7" s="1"/>
  <c r="V499" i="7"/>
  <c r="W500" i="7" s="1"/>
  <c r="T499" i="7"/>
  <c r="U500" i="7" s="1"/>
  <c r="R499" i="7"/>
  <c r="S500" i="7" s="1"/>
  <c r="P499" i="7"/>
  <c r="Q500" i="7" s="1"/>
  <c r="N499" i="7"/>
  <c r="O500" i="7" s="1"/>
  <c r="L499" i="7"/>
  <c r="M500" i="7" s="1"/>
  <c r="J499" i="7"/>
  <c r="K500" i="7" s="1"/>
  <c r="H499" i="7"/>
  <c r="I500" i="7" s="1"/>
  <c r="F499" i="7"/>
  <c r="D498" i="7"/>
  <c r="D498" i="5" s="1"/>
  <c r="D497" i="7"/>
  <c r="D497" i="5" s="1"/>
  <c r="D496" i="7"/>
  <c r="D496" i="5" s="1"/>
  <c r="AI485" i="7"/>
  <c r="AG485" i="7"/>
  <c r="AE485" i="7"/>
  <c r="AC485" i="7"/>
  <c r="AA485" i="7"/>
  <c r="Y485" i="7"/>
  <c r="W485" i="7"/>
  <c r="U485" i="7"/>
  <c r="S485" i="7"/>
  <c r="Q485" i="7"/>
  <c r="O485" i="7"/>
  <c r="M485" i="7"/>
  <c r="K485" i="7"/>
  <c r="I485" i="7"/>
  <c r="G485" i="7"/>
  <c r="D485" i="7"/>
  <c r="D485" i="5" s="1"/>
  <c r="D484" i="7"/>
  <c r="D483" i="7"/>
  <c r="D483" i="5" s="1"/>
  <c r="AG479" i="7"/>
  <c r="AE479" i="7"/>
  <c r="AC479" i="7"/>
  <c r="AA479" i="7"/>
  <c r="Y479" i="7"/>
  <c r="W479" i="7"/>
  <c r="U479" i="7"/>
  <c r="S479" i="7"/>
  <c r="Q479" i="7"/>
  <c r="O479" i="7"/>
  <c r="M479" i="7"/>
  <c r="K479" i="7"/>
  <c r="I479" i="7"/>
  <c r="G479" i="7"/>
  <c r="D479" i="7"/>
  <c r="D479" i="5" s="1"/>
  <c r="D478" i="7"/>
  <c r="D478" i="5" s="1"/>
  <c r="AH477" i="7"/>
  <c r="E475" i="7"/>
  <c r="E475" i="5" s="1"/>
  <c r="E474" i="7"/>
  <c r="E474" i="5" s="1"/>
  <c r="AF463" i="7"/>
  <c r="L463" i="7"/>
  <c r="H463" i="7"/>
  <c r="F463" i="7"/>
  <c r="AH462" i="7"/>
  <c r="AI463" i="7" s="1"/>
  <c r="AF462" i="7"/>
  <c r="AD462" i="7"/>
  <c r="AE463" i="7" s="1"/>
  <c r="AB462" i="7"/>
  <c r="AC463" i="7" s="1"/>
  <c r="Z462" i="7"/>
  <c r="AA463" i="7" s="1"/>
  <c r="X462" i="7"/>
  <c r="Y463" i="7" s="1"/>
  <c r="V462" i="7"/>
  <c r="W463" i="7" s="1"/>
  <c r="T462" i="7"/>
  <c r="U463" i="7" s="1"/>
  <c r="R462" i="7"/>
  <c r="S463" i="7" s="1"/>
  <c r="P462" i="7"/>
  <c r="Q463" i="7" s="1"/>
  <c r="N462" i="7"/>
  <c r="O463" i="7" s="1"/>
  <c r="L462" i="7"/>
  <c r="H462" i="7"/>
  <c r="F462" i="7"/>
  <c r="D461" i="7"/>
  <c r="D461" i="5" s="1"/>
  <c r="J460" i="7"/>
  <c r="J462" i="7" s="1"/>
  <c r="K463" i="7" s="1"/>
  <c r="D459" i="7"/>
  <c r="D459" i="5" s="1"/>
  <c r="AF456" i="7"/>
  <c r="AD456" i="7"/>
  <c r="Z456" i="7"/>
  <c r="X456" i="7"/>
  <c r="V456" i="7"/>
  <c r="T456" i="7"/>
  <c r="R456" i="7"/>
  <c r="P456" i="7"/>
  <c r="J456" i="7"/>
  <c r="AH455" i="7"/>
  <c r="AI456" i="7" s="1"/>
  <c r="AF455" i="7"/>
  <c r="AD455" i="7"/>
  <c r="AB455" i="7"/>
  <c r="AC456" i="7" s="1"/>
  <c r="Z455" i="7"/>
  <c r="X455" i="7"/>
  <c r="V455" i="7"/>
  <c r="T455" i="7"/>
  <c r="R455" i="7"/>
  <c r="P455" i="7"/>
  <c r="N455" i="7"/>
  <c r="O456" i="7" s="1"/>
  <c r="L455" i="7"/>
  <c r="M456" i="7" s="1"/>
  <c r="H455" i="7"/>
  <c r="I456" i="7" s="1"/>
  <c r="F455" i="7"/>
  <c r="G456" i="7" s="1"/>
  <c r="D454" i="7"/>
  <c r="D454" i="5" s="1"/>
  <c r="J453" i="7"/>
  <c r="D453" i="7" s="1"/>
  <c r="D453" i="5" s="1"/>
  <c r="D452" i="7"/>
  <c r="D452" i="5" s="1"/>
  <c r="E443" i="7"/>
  <c r="D443" i="7"/>
  <c r="E442" i="7"/>
  <c r="D442" i="7"/>
  <c r="E441" i="7"/>
  <c r="D441" i="7"/>
  <c r="AI425" i="7"/>
  <c r="AI427" i="7" s="1"/>
  <c r="AH964" i="7" s="1"/>
  <c r="AG425" i="7"/>
  <c r="AE425" i="7"/>
  <c r="AD675" i="7" s="1"/>
  <c r="AC425" i="7"/>
  <c r="AC427" i="7" s="1"/>
  <c r="AB964" i="7" s="1"/>
  <c r="AA425" i="7"/>
  <c r="Y425" i="7"/>
  <c r="W425" i="7"/>
  <c r="U425" i="7"/>
  <c r="S425" i="7"/>
  <c r="Q425" i="7"/>
  <c r="P675" i="7" s="1"/>
  <c r="O425" i="7"/>
  <c r="O427" i="7" s="1"/>
  <c r="N964" i="7" s="1"/>
  <c r="M425" i="7"/>
  <c r="K425" i="7"/>
  <c r="K427" i="7" s="1"/>
  <c r="J964" i="7" s="1"/>
  <c r="I425" i="7"/>
  <c r="I427" i="7" s="1"/>
  <c r="H964" i="7" s="1"/>
  <c r="G425" i="7"/>
  <c r="D425" i="7"/>
  <c r="D425" i="5" s="1"/>
  <c r="D424" i="7"/>
  <c r="D424" i="5" s="1"/>
  <c r="D423" i="7"/>
  <c r="D423" i="5" s="1"/>
  <c r="D422" i="7"/>
  <c r="D422" i="5" s="1"/>
  <c r="D420" i="7"/>
  <c r="D420" i="5" s="1"/>
  <c r="D419" i="7"/>
  <c r="D419" i="5" s="1"/>
  <c r="D418" i="7"/>
  <c r="D418" i="5" s="1"/>
  <c r="D417" i="7"/>
  <c r="D417" i="5" s="1"/>
  <c r="AI405" i="7"/>
  <c r="AG405" i="7"/>
  <c r="AE405" i="7"/>
  <c r="AC405" i="7"/>
  <c r="AA405" i="7"/>
  <c r="Y405" i="7"/>
  <c r="W405" i="7"/>
  <c r="U405" i="7"/>
  <c r="S405" i="7"/>
  <c r="Q405" i="7"/>
  <c r="O405" i="7"/>
  <c r="M405" i="7"/>
  <c r="K405" i="7"/>
  <c r="I405" i="7"/>
  <c r="G405" i="7"/>
  <c r="D405" i="7"/>
  <c r="D405" i="5" s="1"/>
  <c r="D404" i="7"/>
  <c r="D404" i="5" s="1"/>
  <c r="D403" i="7"/>
  <c r="D403" i="5" s="1"/>
  <c r="D402" i="7"/>
  <c r="D402" i="5" s="1"/>
  <c r="E400" i="7"/>
  <c r="E399" i="5" s="1"/>
  <c r="AI397" i="7"/>
  <c r="AI407" i="7" s="1"/>
  <c r="AH963" i="7" s="1"/>
  <c r="AG397" i="7"/>
  <c r="AG407" i="7" s="1"/>
  <c r="AF963" i="7" s="1"/>
  <c r="AE397" i="7"/>
  <c r="AC397" i="7"/>
  <c r="AC407" i="7" s="1"/>
  <c r="AB963" i="7" s="1"/>
  <c r="AA397" i="7"/>
  <c r="AA407" i="7" s="1"/>
  <c r="Z963" i="7" s="1"/>
  <c r="Y397" i="7"/>
  <c r="Y407" i="7" s="1"/>
  <c r="X963" i="7" s="1"/>
  <c r="W397" i="7"/>
  <c r="U397" i="7"/>
  <c r="S397" i="7"/>
  <c r="S407" i="7" s="1"/>
  <c r="R963" i="7" s="1"/>
  <c r="Q397" i="7"/>
  <c r="Q407" i="7" s="1"/>
  <c r="P963" i="7" s="1"/>
  <c r="O397" i="7"/>
  <c r="M397" i="7"/>
  <c r="M407" i="7" s="1"/>
  <c r="L963" i="7" s="1"/>
  <c r="K397" i="7"/>
  <c r="K407" i="7" s="1"/>
  <c r="J963" i="7" s="1"/>
  <c r="I397" i="7"/>
  <c r="I407" i="7" s="1"/>
  <c r="H963" i="7" s="1"/>
  <c r="G397" i="7"/>
  <c r="D397" i="7"/>
  <c r="D396" i="7"/>
  <c r="D395" i="7"/>
  <c r="D394" i="5" s="1"/>
  <c r="D394" i="7"/>
  <c r="D393" i="5" s="1"/>
  <c r="AF380" i="7"/>
  <c r="AH379" i="7"/>
  <c r="AI380" i="7" s="1"/>
  <c r="AF379" i="7"/>
  <c r="AD379" i="7"/>
  <c r="AE380" i="7" s="1"/>
  <c r="AB379" i="7"/>
  <c r="AC380" i="7" s="1"/>
  <c r="Z379" i="7"/>
  <c r="AA380" i="7" s="1"/>
  <c r="X379" i="7"/>
  <c r="Y380" i="7" s="1"/>
  <c r="V379" i="7"/>
  <c r="W380" i="7" s="1"/>
  <c r="T379" i="7"/>
  <c r="U380" i="7" s="1"/>
  <c r="R379" i="7"/>
  <c r="S380" i="7" s="1"/>
  <c r="P379" i="7"/>
  <c r="Q380" i="7" s="1"/>
  <c r="N379" i="7"/>
  <c r="O380" i="7" s="1"/>
  <c r="L379" i="7"/>
  <c r="M380" i="7" s="1"/>
  <c r="J379" i="7"/>
  <c r="K380" i="7" s="1"/>
  <c r="H379" i="7"/>
  <c r="I380" i="7" s="1"/>
  <c r="F379" i="7"/>
  <c r="G380" i="7" s="1"/>
  <c r="D378" i="7"/>
  <c r="D377" i="5" s="1"/>
  <c r="D377" i="7"/>
  <c r="D376" i="5" s="1"/>
  <c r="D376" i="7"/>
  <c r="D375" i="5" s="1"/>
  <c r="AF374" i="7"/>
  <c r="AD374" i="7"/>
  <c r="AB374" i="7"/>
  <c r="Z374" i="7"/>
  <c r="X374" i="7"/>
  <c r="V374" i="7"/>
  <c r="T374" i="7"/>
  <c r="R374" i="7"/>
  <c r="P374" i="7"/>
  <c r="L374" i="7"/>
  <c r="J374" i="7"/>
  <c r="H374" i="7"/>
  <c r="AH373" i="7"/>
  <c r="AI374" i="7" s="1"/>
  <c r="AF373" i="7"/>
  <c r="AD373" i="7"/>
  <c r="AB373" i="7"/>
  <c r="Z373" i="7"/>
  <c r="X373" i="7"/>
  <c r="V373" i="7"/>
  <c r="T373" i="7"/>
  <c r="R373" i="7"/>
  <c r="P373" i="7"/>
  <c r="N373" i="7"/>
  <c r="O374" i="7" s="1"/>
  <c r="L373" i="7"/>
  <c r="J373" i="7"/>
  <c r="H373" i="7"/>
  <c r="F373" i="7"/>
  <c r="G374" i="7" s="1"/>
  <c r="D372" i="7"/>
  <c r="D371" i="5" s="1"/>
  <c r="D371" i="7"/>
  <c r="D370" i="5" s="1"/>
  <c r="D370" i="7"/>
  <c r="D369" i="5" s="1"/>
  <c r="AH358" i="7"/>
  <c r="AD358" i="7"/>
  <c r="AB358" i="7"/>
  <c r="Z358" i="7"/>
  <c r="V358" i="7"/>
  <c r="T358" i="7"/>
  <c r="P358" i="7"/>
  <c r="J358" i="7"/>
  <c r="F358" i="7"/>
  <c r="AH357" i="7"/>
  <c r="AD357" i="7"/>
  <c r="AB357" i="7"/>
  <c r="Z357" i="7"/>
  <c r="X357" i="7"/>
  <c r="Y358" i="7" s="1"/>
  <c r="V357" i="7"/>
  <c r="T357" i="7"/>
  <c r="R357" i="7"/>
  <c r="S358" i="7" s="1"/>
  <c r="P357" i="7"/>
  <c r="N357" i="7"/>
  <c r="O358" i="7" s="1"/>
  <c r="L357" i="7"/>
  <c r="M358" i="7" s="1"/>
  <c r="J357" i="7"/>
  <c r="H357" i="7"/>
  <c r="I358" i="7" s="1"/>
  <c r="F357" i="7"/>
  <c r="G358" i="7" s="1"/>
  <c r="AF356" i="7"/>
  <c r="AF355" i="7"/>
  <c r="D355" i="7" s="1"/>
  <c r="D354" i="5" s="1"/>
  <c r="D354" i="7"/>
  <c r="D353" i="5" s="1"/>
  <c r="D353" i="7"/>
  <c r="D352" i="5" s="1"/>
  <c r="D352" i="7"/>
  <c r="D351" i="5" s="1"/>
  <c r="D350" i="7"/>
  <c r="D349" i="5" s="1"/>
  <c r="D349" i="7"/>
  <c r="D348" i="5" s="1"/>
  <c r="D348" i="7"/>
  <c r="F344" i="7"/>
  <c r="D344" i="7" s="1"/>
  <c r="D343" i="5" s="1"/>
  <c r="AH343" i="7"/>
  <c r="AI344" i="7" s="1"/>
  <c r="AF343" i="7"/>
  <c r="AG344" i="7" s="1"/>
  <c r="AD343" i="7"/>
  <c r="AE344" i="7" s="1"/>
  <c r="AB343" i="7"/>
  <c r="AC344" i="7" s="1"/>
  <c r="Z343" i="7"/>
  <c r="AA344" i="7" s="1"/>
  <c r="X343" i="7"/>
  <c r="Y344" i="7" s="1"/>
  <c r="V343" i="7"/>
  <c r="W344" i="7" s="1"/>
  <c r="T343" i="7"/>
  <c r="U344" i="7" s="1"/>
  <c r="R343" i="7"/>
  <c r="S344" i="7" s="1"/>
  <c r="P343" i="7"/>
  <c r="Q344" i="7" s="1"/>
  <c r="N343" i="7"/>
  <c r="O344" i="7" s="1"/>
  <c r="L343" i="7"/>
  <c r="M344" i="7" s="1"/>
  <c r="J343" i="7"/>
  <c r="K344" i="7" s="1"/>
  <c r="H343" i="7"/>
  <c r="I344" i="7" s="1"/>
  <c r="F343" i="7"/>
  <c r="D342" i="7"/>
  <c r="D341" i="5" s="1"/>
  <c r="D341" i="7"/>
  <c r="D340" i="5" s="1"/>
  <c r="D340" i="7"/>
  <c r="D339" i="5" s="1"/>
  <c r="D339" i="7"/>
  <c r="D338" i="5" s="1"/>
  <c r="AD336" i="7"/>
  <c r="AB336" i="7"/>
  <c r="P336" i="7"/>
  <c r="F336" i="7"/>
  <c r="AH335" i="7"/>
  <c r="AI336" i="7" s="1"/>
  <c r="AF335" i="7"/>
  <c r="AG336" i="7" s="1"/>
  <c r="AD335" i="7"/>
  <c r="AB335" i="7"/>
  <c r="Z335" i="7"/>
  <c r="AA336" i="7" s="1"/>
  <c r="X335" i="7"/>
  <c r="Y336" i="7" s="1"/>
  <c r="V335" i="7"/>
  <c r="W336" i="7" s="1"/>
  <c r="T335" i="7"/>
  <c r="U336" i="7" s="1"/>
  <c r="R335" i="7"/>
  <c r="S336" i="7" s="1"/>
  <c r="P335" i="7"/>
  <c r="N335" i="7"/>
  <c r="O336" i="7" s="1"/>
  <c r="L335" i="7"/>
  <c r="M336" i="7" s="1"/>
  <c r="J335" i="7"/>
  <c r="K336" i="7" s="1"/>
  <c r="H335" i="7"/>
  <c r="I336" i="7" s="1"/>
  <c r="F335" i="7"/>
  <c r="D334" i="7"/>
  <c r="D333" i="5" s="1"/>
  <c r="D333" i="7"/>
  <c r="D332" i="7"/>
  <c r="D331" i="5" s="1"/>
  <c r="D329" i="7"/>
  <c r="D328" i="5" s="1"/>
  <c r="AH328" i="7"/>
  <c r="AI329" i="7" s="1"/>
  <c r="AF328" i="7"/>
  <c r="AG329" i="7" s="1"/>
  <c r="AD328" i="7"/>
  <c r="AE329" i="7" s="1"/>
  <c r="AB328" i="7"/>
  <c r="AC329" i="7" s="1"/>
  <c r="Z328" i="7"/>
  <c r="AA329" i="7" s="1"/>
  <c r="X328" i="7"/>
  <c r="Y329" i="7" s="1"/>
  <c r="V328" i="7"/>
  <c r="W329" i="7" s="1"/>
  <c r="T328" i="7"/>
  <c r="U329" i="7" s="1"/>
  <c r="R328" i="7"/>
  <c r="S329" i="7" s="1"/>
  <c r="P328" i="7"/>
  <c r="Q329" i="7" s="1"/>
  <c r="N328" i="7"/>
  <c r="O329" i="7" s="1"/>
  <c r="L328" i="7"/>
  <c r="M329" i="7" s="1"/>
  <c r="J328" i="7"/>
  <c r="K329" i="7" s="1"/>
  <c r="H328" i="7"/>
  <c r="I329" i="7" s="1"/>
  <c r="F328" i="7"/>
  <c r="G329" i="7" s="1"/>
  <c r="D327" i="7"/>
  <c r="D326" i="5" s="1"/>
  <c r="D326" i="7"/>
  <c r="D325" i="7"/>
  <c r="D324" i="5" s="1"/>
  <c r="E319" i="7"/>
  <c r="D319" i="7"/>
  <c r="F318" i="7"/>
  <c r="F317" i="5" s="1"/>
  <c r="F317" i="7"/>
  <c r="F316" i="5" s="1"/>
  <c r="F316" i="7"/>
  <c r="F315" i="5" s="1"/>
  <c r="F315" i="7"/>
  <c r="F314" i="5" s="1"/>
  <c r="F314" i="7"/>
  <c r="F313" i="5" s="1"/>
  <c r="F313" i="7"/>
  <c r="F312" i="5" s="1"/>
  <c r="F312" i="7"/>
  <c r="F311" i="5" s="1"/>
  <c r="F311" i="7"/>
  <c r="E301" i="7"/>
  <c r="E302" i="5" s="1"/>
  <c r="G300" i="7"/>
  <c r="D300" i="7"/>
  <c r="D301" i="5" s="1"/>
  <c r="D299" i="7"/>
  <c r="D300" i="5" s="1"/>
  <c r="D298" i="7"/>
  <c r="E293" i="7"/>
  <c r="E287" i="5" s="1"/>
  <c r="G291" i="7"/>
  <c r="D291" i="7"/>
  <c r="D285" i="5" s="1"/>
  <c r="D290" i="7"/>
  <c r="D284" i="5" s="1"/>
  <c r="E288" i="7"/>
  <c r="E295" i="5" s="1"/>
  <c r="E286" i="7"/>
  <c r="E282" i="5" s="1"/>
  <c r="E284" i="7"/>
  <c r="E280" i="5" s="1"/>
  <c r="E282" i="7"/>
  <c r="E278" i="5" s="1"/>
  <c r="E280" i="7"/>
  <c r="E276" i="5" s="1"/>
  <c r="F278" i="7"/>
  <c r="D277" i="7"/>
  <c r="D273" i="5" s="1"/>
  <c r="D276" i="7"/>
  <c r="D272" i="5" s="1"/>
  <c r="G273" i="7"/>
  <c r="D273" i="7"/>
  <c r="D292" i="5" s="1"/>
  <c r="D272" i="7"/>
  <c r="D291" i="5" s="1"/>
  <c r="G269" i="7"/>
  <c r="D269" i="7"/>
  <c r="D269" i="5" s="1"/>
  <c r="D267" i="7"/>
  <c r="D267" i="5" s="1"/>
  <c r="E264" i="7"/>
  <c r="AI248" i="7"/>
  <c r="AG248" i="7"/>
  <c r="AE248" i="7"/>
  <c r="AC248" i="7"/>
  <c r="AA248" i="7"/>
  <c r="Y248" i="7"/>
  <c r="W248" i="7"/>
  <c r="U248" i="7"/>
  <c r="S248" i="7"/>
  <c r="Q248" i="7"/>
  <c r="O248" i="7"/>
  <c r="M248" i="7"/>
  <c r="K248" i="7"/>
  <c r="I248" i="7"/>
  <c r="D248" i="7"/>
  <c r="D248" i="5" s="1"/>
  <c r="F247" i="7"/>
  <c r="D247" i="7" s="1"/>
  <c r="D247" i="5" s="1"/>
  <c r="D246" i="7"/>
  <c r="D246" i="5" s="1"/>
  <c r="D245" i="7"/>
  <c r="D245" i="5" s="1"/>
  <c r="D244" i="7"/>
  <c r="D244" i="5" s="1"/>
  <c r="F243" i="7"/>
  <c r="D243" i="7" s="1"/>
  <c r="D243" i="5" s="1"/>
  <c r="AI240" i="7"/>
  <c r="AG240" i="7"/>
  <c r="AE240" i="7"/>
  <c r="AC240" i="7"/>
  <c r="AA240" i="7"/>
  <c r="AA250" i="7" s="1"/>
  <c r="Z947" i="7" s="1"/>
  <c r="Y240" i="7"/>
  <c r="W240" i="7"/>
  <c r="U240" i="7"/>
  <c r="S240" i="7"/>
  <c r="Q240" i="7"/>
  <c r="O240" i="7"/>
  <c r="M240" i="7"/>
  <c r="K240" i="7"/>
  <c r="K250" i="7" s="1"/>
  <c r="J947" i="7" s="1"/>
  <c r="I240" i="7"/>
  <c r="D239" i="7"/>
  <c r="E239" i="5" s="1"/>
  <c r="D238" i="7"/>
  <c r="E238" i="5" s="1"/>
  <c r="D237" i="7"/>
  <c r="E237" i="5" s="1"/>
  <c r="D236" i="7"/>
  <c r="E236" i="5" s="1"/>
  <c r="D235" i="7"/>
  <c r="E235" i="5" s="1"/>
  <c r="D234" i="7"/>
  <c r="E234" i="5" s="1"/>
  <c r="D233" i="7"/>
  <c r="E233" i="5" s="1"/>
  <c r="D232" i="7"/>
  <c r="D232" i="5" s="1"/>
  <c r="D231" i="7"/>
  <c r="D231" i="5" s="1"/>
  <c r="D230" i="7"/>
  <c r="E229" i="5" s="1"/>
  <c r="F229" i="7"/>
  <c r="AD220" i="7"/>
  <c r="T220" i="7"/>
  <c r="H220" i="7"/>
  <c r="F220" i="7"/>
  <c r="AD219" i="7"/>
  <c r="D218" i="7"/>
  <c r="D218" i="5" s="1"/>
  <c r="D217" i="7"/>
  <c r="D217" i="5" s="1"/>
  <c r="D216" i="7"/>
  <c r="D216" i="5" s="1"/>
  <c r="D215" i="7"/>
  <c r="D215" i="5" s="1"/>
  <c r="D214" i="7"/>
  <c r="D214" i="5" s="1"/>
  <c r="D213" i="7"/>
  <c r="D213" i="5" s="1"/>
  <c r="D212" i="7"/>
  <c r="D212" i="5" s="1"/>
  <c r="D211" i="7"/>
  <c r="D211" i="5" s="1"/>
  <c r="D210" i="7"/>
  <c r="D210" i="5" s="1"/>
  <c r="D209" i="7"/>
  <c r="D209" i="5" s="1"/>
  <c r="D208" i="7"/>
  <c r="D208" i="5" s="1"/>
  <c r="AH207" i="7"/>
  <c r="AI220" i="7" s="1"/>
  <c r="AI223" i="7" s="1"/>
  <c r="AH946" i="7" s="1"/>
  <c r="AF207" i="7"/>
  <c r="AG220" i="7" s="1"/>
  <c r="AG223" i="7" s="1"/>
  <c r="AF946" i="7" s="1"/>
  <c r="AD207" i="7"/>
  <c r="AB207" i="7"/>
  <c r="AC220" i="7" s="1"/>
  <c r="AC223" i="7" s="1"/>
  <c r="AB946" i="7" s="1"/>
  <c r="Z207" i="7"/>
  <c r="AA220" i="7" s="1"/>
  <c r="AA223" i="7" s="1"/>
  <c r="Z946" i="7" s="1"/>
  <c r="X207" i="7"/>
  <c r="Y220" i="7" s="1"/>
  <c r="Y223" i="7" s="1"/>
  <c r="X946" i="7" s="1"/>
  <c r="V207" i="7"/>
  <c r="W220" i="7" s="1"/>
  <c r="W223" i="7" s="1"/>
  <c r="V946" i="7" s="1"/>
  <c r="T207" i="7"/>
  <c r="R207" i="7"/>
  <c r="S220" i="7" s="1"/>
  <c r="S223" i="7" s="1"/>
  <c r="R946" i="7" s="1"/>
  <c r="P207" i="7"/>
  <c r="Q220" i="7" s="1"/>
  <c r="Q223" i="7" s="1"/>
  <c r="P946" i="7" s="1"/>
  <c r="N207" i="7"/>
  <c r="O220" i="7" s="1"/>
  <c r="O223" i="7" s="1"/>
  <c r="N946" i="7" s="1"/>
  <c r="L207" i="7"/>
  <c r="M220" i="7" s="1"/>
  <c r="M223" i="7" s="1"/>
  <c r="L946" i="7" s="1"/>
  <c r="J207" i="7"/>
  <c r="K220" i="7" s="1"/>
  <c r="K223" i="7" s="1"/>
  <c r="J946" i="7" s="1"/>
  <c r="H207" i="7"/>
  <c r="F207" i="7"/>
  <c r="D206" i="7"/>
  <c r="D206" i="5" s="1"/>
  <c r="D205" i="7"/>
  <c r="E203" i="7"/>
  <c r="E203" i="5" s="1"/>
  <c r="E202" i="7"/>
  <c r="E202" i="5" s="1"/>
  <c r="E201" i="7"/>
  <c r="E201" i="5" s="1"/>
  <c r="E190" i="7"/>
  <c r="E190" i="5" s="1"/>
  <c r="AI189" i="7"/>
  <c r="AI192" i="7" s="1"/>
  <c r="AH945" i="7" s="1"/>
  <c r="AG189" i="7"/>
  <c r="AG192" i="7" s="1"/>
  <c r="AF945" i="7" s="1"/>
  <c r="AE189" i="7"/>
  <c r="AE192" i="7" s="1"/>
  <c r="AD945" i="7" s="1"/>
  <c r="AC189" i="7"/>
  <c r="AC192" i="7" s="1"/>
  <c r="AB945" i="7" s="1"/>
  <c r="AA189" i="7"/>
  <c r="AA192" i="7" s="1"/>
  <c r="Z945" i="7" s="1"/>
  <c r="Y189" i="7"/>
  <c r="Y192" i="7" s="1"/>
  <c r="X945" i="7" s="1"/>
  <c r="W189" i="7"/>
  <c r="W192" i="7" s="1"/>
  <c r="V945" i="7" s="1"/>
  <c r="U189" i="7"/>
  <c r="U192" i="7" s="1"/>
  <c r="T945" i="7" s="1"/>
  <c r="S189" i="7"/>
  <c r="S192" i="7" s="1"/>
  <c r="R945" i="7" s="1"/>
  <c r="Q189" i="7"/>
  <c r="Q192" i="7" s="1"/>
  <c r="P945" i="7" s="1"/>
  <c r="O189" i="7"/>
  <c r="O192" i="7" s="1"/>
  <c r="N945" i="7" s="1"/>
  <c r="M189" i="7"/>
  <c r="M192" i="7" s="1"/>
  <c r="L945" i="7" s="1"/>
  <c r="K189" i="7"/>
  <c r="K192" i="7" s="1"/>
  <c r="J945" i="7" s="1"/>
  <c r="I189" i="7"/>
  <c r="I192" i="7" s="1"/>
  <c r="H945" i="7" s="1"/>
  <c r="G189" i="7"/>
  <c r="G192" i="7" s="1"/>
  <c r="F945" i="7" s="1"/>
  <c r="D189" i="7"/>
  <c r="D189" i="5" s="1"/>
  <c r="D188" i="7"/>
  <c r="D188" i="5" s="1"/>
  <c r="E175" i="7"/>
  <c r="E175" i="5" s="1"/>
  <c r="AI173" i="7"/>
  <c r="AI178" i="7" s="1"/>
  <c r="AH944" i="7" s="1"/>
  <c r="AG173" i="7"/>
  <c r="AG178" i="7" s="1"/>
  <c r="AF944" i="7" s="1"/>
  <c r="AE173" i="7"/>
  <c r="AE178" i="7" s="1"/>
  <c r="AD944" i="7" s="1"/>
  <c r="AC173" i="7"/>
  <c r="AC178" i="7" s="1"/>
  <c r="AB944" i="7" s="1"/>
  <c r="AA173" i="7"/>
  <c r="AA178" i="7" s="1"/>
  <c r="Z944" i="7" s="1"/>
  <c r="Y173" i="7"/>
  <c r="Y178" i="7" s="1"/>
  <c r="X944" i="7" s="1"/>
  <c r="W173" i="7"/>
  <c r="W178" i="7" s="1"/>
  <c r="V944" i="7" s="1"/>
  <c r="U173" i="7"/>
  <c r="U178" i="7" s="1"/>
  <c r="T944" i="7" s="1"/>
  <c r="S173" i="7"/>
  <c r="S178" i="7" s="1"/>
  <c r="R944" i="7" s="1"/>
  <c r="Q173" i="7"/>
  <c r="Q178" i="7" s="1"/>
  <c r="P944" i="7" s="1"/>
  <c r="O173" i="7"/>
  <c r="O178" i="7" s="1"/>
  <c r="N944" i="7" s="1"/>
  <c r="M173" i="7"/>
  <c r="M178" i="7" s="1"/>
  <c r="L944" i="7" s="1"/>
  <c r="K173" i="7"/>
  <c r="K178" i="7" s="1"/>
  <c r="J944" i="7" s="1"/>
  <c r="I173" i="7"/>
  <c r="I178" i="7" s="1"/>
  <c r="H944" i="7" s="1"/>
  <c r="G173" i="7"/>
  <c r="G178" i="7" s="1"/>
  <c r="F944" i="7" s="1"/>
  <c r="D173" i="7"/>
  <c r="D173" i="5" s="1"/>
  <c r="D172" i="7"/>
  <c r="E161" i="7"/>
  <c r="E161" i="5" s="1"/>
  <c r="AI159" i="7"/>
  <c r="AI163" i="7" s="1"/>
  <c r="AH941" i="7" s="1"/>
  <c r="AG159" i="7"/>
  <c r="AG163" i="7" s="1"/>
  <c r="AF941" i="7" s="1"/>
  <c r="AE159" i="7"/>
  <c r="AE163" i="7" s="1"/>
  <c r="AD941" i="7" s="1"/>
  <c r="AC159" i="7"/>
  <c r="AC163" i="7" s="1"/>
  <c r="AB941" i="7" s="1"/>
  <c r="AA159" i="7"/>
  <c r="AA163" i="7" s="1"/>
  <c r="Z941" i="7" s="1"/>
  <c r="Y159" i="7"/>
  <c r="Y163" i="7" s="1"/>
  <c r="X941" i="7" s="1"/>
  <c r="W159" i="7"/>
  <c r="W163" i="7" s="1"/>
  <c r="V941" i="7" s="1"/>
  <c r="U159" i="7"/>
  <c r="U163" i="7" s="1"/>
  <c r="T941" i="7" s="1"/>
  <c r="S159" i="7"/>
  <c r="S163" i="7" s="1"/>
  <c r="R941" i="7" s="1"/>
  <c r="Q159" i="7"/>
  <c r="Q163" i="7" s="1"/>
  <c r="P941" i="7" s="1"/>
  <c r="O159" i="7"/>
  <c r="O163" i="7" s="1"/>
  <c r="N941" i="7" s="1"/>
  <c r="M159" i="7"/>
  <c r="M163" i="7" s="1"/>
  <c r="L941" i="7" s="1"/>
  <c r="K159" i="7"/>
  <c r="K163" i="7" s="1"/>
  <c r="J941" i="7" s="1"/>
  <c r="I159" i="7"/>
  <c r="I163" i="7" s="1"/>
  <c r="H941" i="7" s="1"/>
  <c r="D159" i="7"/>
  <c r="E159" i="5" s="1"/>
  <c r="D158" i="7"/>
  <c r="E158" i="5" s="1"/>
  <c r="D157" i="7"/>
  <c r="E157" i="5" s="1"/>
  <c r="D156" i="7"/>
  <c r="E156" i="5" s="1"/>
  <c r="F155" i="7"/>
  <c r="G159" i="7" s="1"/>
  <c r="G163" i="7" s="1"/>
  <c r="F941" i="7" s="1"/>
  <c r="D154" i="7"/>
  <c r="D154" i="5" s="1"/>
  <c r="D153" i="7"/>
  <c r="E152" i="5" s="1"/>
  <c r="AI142" i="7"/>
  <c r="AG142" i="7"/>
  <c r="AE142" i="7"/>
  <c r="AC142" i="7"/>
  <c r="AA142" i="7"/>
  <c r="Y142" i="7"/>
  <c r="W142" i="7"/>
  <c r="U142" i="7"/>
  <c r="S142" i="7"/>
  <c r="Q142" i="7"/>
  <c r="O142" i="7"/>
  <c r="M142" i="7"/>
  <c r="K142" i="7"/>
  <c r="I142" i="7"/>
  <c r="G142" i="7"/>
  <c r="D142" i="7"/>
  <c r="D142" i="5" s="1"/>
  <c r="D141" i="7"/>
  <c r="E140" i="7"/>
  <c r="AI139" i="7"/>
  <c r="AG139" i="7"/>
  <c r="AE139" i="7"/>
  <c r="AC139" i="7"/>
  <c r="AA139" i="7"/>
  <c r="Y139" i="7"/>
  <c r="W139" i="7"/>
  <c r="U139" i="7"/>
  <c r="S139" i="7"/>
  <c r="Q139" i="7"/>
  <c r="O139" i="7"/>
  <c r="M139" i="7"/>
  <c r="K139" i="7"/>
  <c r="I139" i="7"/>
  <c r="G139" i="7"/>
  <c r="D139" i="7"/>
  <c r="D139" i="5" s="1"/>
  <c r="D138" i="7"/>
  <c r="D138" i="5" s="1"/>
  <c r="AH123" i="7"/>
  <c r="AF123" i="7"/>
  <c r="AD123" i="7"/>
  <c r="AB123" i="7"/>
  <c r="Z123" i="7"/>
  <c r="X123" i="7"/>
  <c r="V123" i="7"/>
  <c r="T123" i="7"/>
  <c r="R123" i="7"/>
  <c r="P123" i="7"/>
  <c r="N123" i="7"/>
  <c r="L123" i="7"/>
  <c r="J123" i="7"/>
  <c r="H123" i="7"/>
  <c r="F123" i="7"/>
  <c r="AH122" i="7"/>
  <c r="AF122" i="7"/>
  <c r="AD122" i="7"/>
  <c r="AB122" i="7"/>
  <c r="Z122" i="7"/>
  <c r="X122" i="7"/>
  <c r="V122" i="7"/>
  <c r="T122" i="7"/>
  <c r="R122" i="7"/>
  <c r="P122" i="7"/>
  <c r="N122" i="7"/>
  <c r="L122" i="7"/>
  <c r="J122" i="7"/>
  <c r="H122" i="7"/>
  <c r="F122" i="7"/>
  <c r="AI119" i="7"/>
  <c r="AG119" i="7"/>
  <c r="AE119" i="7"/>
  <c r="AC119" i="7"/>
  <c r="AA119" i="7"/>
  <c r="Y119" i="7"/>
  <c r="W119" i="7"/>
  <c r="U119" i="7"/>
  <c r="S119" i="7"/>
  <c r="Q119" i="7"/>
  <c r="O119" i="7"/>
  <c r="M119" i="7"/>
  <c r="K119" i="7"/>
  <c r="I119" i="7"/>
  <c r="G119" i="7"/>
  <c r="D119" i="7"/>
  <c r="D119" i="5" s="1"/>
  <c r="D118" i="7"/>
  <c r="D118" i="5" s="1"/>
  <c r="AI115" i="7"/>
  <c r="AG115" i="7"/>
  <c r="AE115" i="7"/>
  <c r="AC115" i="7"/>
  <c r="AA115" i="7"/>
  <c r="Y115" i="7"/>
  <c r="W115" i="7"/>
  <c r="U115" i="7"/>
  <c r="S115" i="7"/>
  <c r="Q115" i="7"/>
  <c r="O115" i="7"/>
  <c r="M115" i="7"/>
  <c r="K115" i="7"/>
  <c r="I115" i="7"/>
  <c r="G115" i="7"/>
  <c r="D115" i="7"/>
  <c r="D115" i="5" s="1"/>
  <c r="D114" i="7"/>
  <c r="AI111" i="7"/>
  <c r="AG111" i="7"/>
  <c r="AE111" i="7"/>
  <c r="AC111" i="7"/>
  <c r="AA111" i="7"/>
  <c r="Y111" i="7"/>
  <c r="W111" i="7"/>
  <c r="U111" i="7"/>
  <c r="S111" i="7"/>
  <c r="Q111" i="7"/>
  <c r="O111" i="7"/>
  <c r="M111" i="7"/>
  <c r="K111" i="7"/>
  <c r="I111" i="7"/>
  <c r="G111" i="7"/>
  <c r="D111" i="7"/>
  <c r="D111" i="5" s="1"/>
  <c r="D110" i="7"/>
  <c r="AI107" i="7"/>
  <c r="AG107" i="7"/>
  <c r="AE107" i="7"/>
  <c r="AC107" i="7"/>
  <c r="AA107" i="7"/>
  <c r="Y107" i="7"/>
  <c r="W107" i="7"/>
  <c r="U107" i="7"/>
  <c r="S107" i="7"/>
  <c r="Q107" i="7"/>
  <c r="O107" i="7"/>
  <c r="M107" i="7"/>
  <c r="K107" i="7"/>
  <c r="I107" i="7"/>
  <c r="G107" i="7"/>
  <c r="D107" i="7"/>
  <c r="D107" i="5" s="1"/>
  <c r="D106" i="7"/>
  <c r="AI103" i="7"/>
  <c r="AG103" i="7"/>
  <c r="AE103" i="7"/>
  <c r="AC103" i="7"/>
  <c r="AA103" i="7"/>
  <c r="Y103" i="7"/>
  <c r="W103" i="7"/>
  <c r="U103" i="7"/>
  <c r="S103" i="7"/>
  <c r="Q103" i="7"/>
  <c r="O103" i="7"/>
  <c r="M103" i="7"/>
  <c r="K103" i="7"/>
  <c r="I103" i="7"/>
  <c r="G103" i="7"/>
  <c r="D103" i="7"/>
  <c r="D103" i="5" s="1"/>
  <c r="D102" i="7"/>
  <c r="AI99" i="7"/>
  <c r="AG99" i="7"/>
  <c r="AE99" i="7"/>
  <c r="AC99" i="7"/>
  <c r="AA99" i="7"/>
  <c r="Y99" i="7"/>
  <c r="W99" i="7"/>
  <c r="U99" i="7"/>
  <c r="S99" i="7"/>
  <c r="Q99" i="7"/>
  <c r="O99" i="7"/>
  <c r="M99" i="7"/>
  <c r="K99" i="7"/>
  <c r="I99" i="7"/>
  <c r="G99" i="7"/>
  <c r="D99" i="7"/>
  <c r="D99" i="5" s="1"/>
  <c r="D98" i="7"/>
  <c r="D98" i="5" s="1"/>
  <c r="F85" i="7"/>
  <c r="F84" i="7"/>
  <c r="F83" i="7"/>
  <c r="F82" i="7"/>
  <c r="F81" i="7"/>
  <c r="F80" i="7"/>
  <c r="F77" i="7"/>
  <c r="F76" i="7"/>
  <c r="F75" i="7"/>
  <c r="F74" i="7"/>
  <c r="F69" i="7"/>
  <c r="F67" i="7"/>
  <c r="F66" i="7"/>
  <c r="F63" i="7"/>
  <c r="F61" i="7"/>
  <c r="F60" i="7"/>
  <c r="F57" i="7"/>
  <c r="F55" i="7"/>
  <c r="F54" i="7"/>
  <c r="F49" i="7"/>
  <c r="D49" i="7"/>
  <c r="D50" i="5" s="1"/>
  <c r="F48" i="7"/>
  <c r="E46" i="7"/>
  <c r="AH932" i="7" s="1"/>
  <c r="F45" i="7"/>
  <c r="F44" i="7"/>
  <c r="E16" i="7"/>
  <c r="F931" i="7" s="1"/>
  <c r="G167" i="4"/>
  <c r="E167" i="4"/>
  <c r="G145" i="4"/>
  <c r="G146" i="4" s="1"/>
  <c r="E145" i="4"/>
  <c r="E146" i="4" s="1"/>
  <c r="G136" i="4"/>
  <c r="G137" i="4" s="1"/>
  <c r="E136" i="4"/>
  <c r="E137" i="4" s="1"/>
  <c r="G122" i="4"/>
  <c r="E122" i="4"/>
  <c r="G109" i="4"/>
  <c r="G110" i="4" s="1"/>
  <c r="E109" i="4"/>
  <c r="E110" i="4" s="1"/>
  <c r="G85" i="4"/>
  <c r="G86" i="4" s="1"/>
  <c r="E85" i="4"/>
  <c r="E86" i="4" s="1"/>
  <c r="F82" i="4"/>
  <c r="F81" i="4"/>
  <c r="F80" i="4"/>
  <c r="G76" i="4"/>
  <c r="F69" i="4"/>
  <c r="F33" i="4"/>
  <c r="F32" i="4"/>
  <c r="F31" i="4"/>
  <c r="AI992" i="15"/>
  <c r="AI993" i="15" s="1"/>
  <c r="AG992" i="15"/>
  <c r="AG993" i="15" s="1"/>
  <c r="AE992" i="15"/>
  <c r="AE993" i="15" s="1"/>
  <c r="AC992" i="15"/>
  <c r="AC993" i="15" s="1"/>
  <c r="AA992" i="15"/>
  <c r="AA993" i="15" s="1"/>
  <c r="Y992" i="15"/>
  <c r="Y993" i="15" s="1"/>
  <c r="W992" i="15"/>
  <c r="W993" i="15" s="1"/>
  <c r="U992" i="15"/>
  <c r="U993" i="15" s="1"/>
  <c r="S992" i="15"/>
  <c r="S993" i="15" s="1"/>
  <c r="Q992" i="15"/>
  <c r="Q993" i="15" s="1"/>
  <c r="O992" i="15"/>
  <c r="O993" i="15" s="1"/>
  <c r="M992" i="15"/>
  <c r="M993" i="15" s="1"/>
  <c r="K992" i="15"/>
  <c r="K993" i="15" s="1"/>
  <c r="I992" i="15"/>
  <c r="I993" i="15" s="1"/>
  <c r="G992" i="15"/>
  <c r="G993" i="15" s="1"/>
  <c r="E992" i="15"/>
  <c r="E993" i="15" s="1"/>
  <c r="AI989" i="15"/>
  <c r="AG989" i="15"/>
  <c r="AE989" i="15"/>
  <c r="AC989" i="15"/>
  <c r="AA989" i="15"/>
  <c r="Y989" i="15"/>
  <c r="W989" i="15"/>
  <c r="U989" i="15"/>
  <c r="S989" i="15"/>
  <c r="Q989" i="15"/>
  <c r="O989" i="15"/>
  <c r="M989" i="15"/>
  <c r="K989" i="15"/>
  <c r="I989" i="15"/>
  <c r="G989" i="15"/>
  <c r="D989" i="15"/>
  <c r="D988" i="15"/>
  <c r="D987" i="15"/>
  <c r="D986" i="15"/>
  <c r="AI982" i="15"/>
  <c r="AG982" i="15" s="1"/>
  <c r="AE982" i="15" s="1"/>
  <c r="AC982" i="15" s="1"/>
  <c r="AA982" i="15" s="1"/>
  <c r="Y982" i="15" s="1"/>
  <c r="W982" i="15" s="1"/>
  <c r="U982" i="15" s="1"/>
  <c r="S982" i="15" s="1"/>
  <c r="Q982" i="15" s="1"/>
  <c r="O982" i="15" s="1"/>
  <c r="M982" i="15" s="1"/>
  <c r="K982" i="15" s="1"/>
  <c r="I982" i="15" s="1"/>
  <c r="G982" i="15"/>
  <c r="AG980" i="15"/>
  <c r="E980" i="15" s="1"/>
  <c r="D973" i="15"/>
  <c r="AH943" i="15"/>
  <c r="AF943" i="15"/>
  <c r="AD943" i="15"/>
  <c r="AB943" i="15"/>
  <c r="Z943" i="15"/>
  <c r="X943" i="15"/>
  <c r="V943" i="15"/>
  <c r="T943" i="15"/>
  <c r="R943" i="15"/>
  <c r="P943" i="15"/>
  <c r="N943" i="15"/>
  <c r="L943" i="15"/>
  <c r="J943" i="15"/>
  <c r="AH942" i="15"/>
  <c r="AF942" i="15"/>
  <c r="AD942" i="15"/>
  <c r="AB942" i="15"/>
  <c r="Z942" i="15"/>
  <c r="X942" i="15"/>
  <c r="V942" i="15"/>
  <c r="T942" i="15"/>
  <c r="R942" i="15"/>
  <c r="P942" i="15"/>
  <c r="N942" i="15"/>
  <c r="L942" i="15"/>
  <c r="J942" i="15"/>
  <c r="H942" i="15"/>
  <c r="D941" i="15"/>
  <c r="D940" i="15"/>
  <c r="D939" i="15"/>
  <c r="D938" i="15"/>
  <c r="D924" i="15"/>
  <c r="D918" i="15"/>
  <c r="AF917" i="15"/>
  <c r="AD917" i="15"/>
  <c r="AB917" i="15"/>
  <c r="Z917" i="15"/>
  <c r="X917" i="15"/>
  <c r="V917" i="15"/>
  <c r="T917" i="15"/>
  <c r="R917" i="15"/>
  <c r="P917" i="15"/>
  <c r="N917" i="15"/>
  <c r="L917" i="15"/>
  <c r="J917" i="15"/>
  <c r="H917" i="15"/>
  <c r="AH916" i="15"/>
  <c r="AF916" i="15"/>
  <c r="AD916" i="15"/>
  <c r="AB916" i="15"/>
  <c r="Z916" i="15"/>
  <c r="X916" i="15"/>
  <c r="V916" i="15"/>
  <c r="T916" i="15"/>
  <c r="R916" i="15"/>
  <c r="P916" i="15"/>
  <c r="N916" i="15"/>
  <c r="L916" i="15"/>
  <c r="J916" i="15"/>
  <c r="H916" i="15"/>
  <c r="E905" i="15"/>
  <c r="E904" i="15"/>
  <c r="E903" i="15"/>
  <c r="AD897" i="15"/>
  <c r="D896" i="15"/>
  <c r="D895" i="15"/>
  <c r="D893" i="15"/>
  <c r="D892" i="15"/>
  <c r="AI884" i="15"/>
  <c r="AG884" i="15"/>
  <c r="AE884" i="15"/>
  <c r="AC884" i="15"/>
  <c r="AA884" i="15"/>
  <c r="Y884" i="15"/>
  <c r="W884" i="15"/>
  <c r="U884" i="15"/>
  <c r="S884" i="15"/>
  <c r="Q884" i="15"/>
  <c r="O884" i="15"/>
  <c r="M884" i="15"/>
  <c r="K884" i="15"/>
  <c r="I884" i="15"/>
  <c r="G884" i="15"/>
  <c r="E882" i="15"/>
  <c r="E881" i="15"/>
  <c r="E880" i="15"/>
  <c r="E879" i="15"/>
  <c r="E878" i="15"/>
  <c r="AI872" i="15"/>
  <c r="AG872" i="15"/>
  <c r="AE872" i="15"/>
  <c r="AC872" i="15"/>
  <c r="AA872" i="15"/>
  <c r="Y872" i="15"/>
  <c r="W872" i="15"/>
  <c r="U872" i="15"/>
  <c r="S872" i="15"/>
  <c r="Q872" i="15"/>
  <c r="O872" i="15"/>
  <c r="M872" i="15"/>
  <c r="K872" i="15"/>
  <c r="I872" i="15"/>
  <c r="G872" i="15"/>
  <c r="E870" i="15"/>
  <c r="E869" i="15"/>
  <c r="E868" i="15"/>
  <c r="E867" i="15"/>
  <c r="E866" i="15"/>
  <c r="E865" i="15"/>
  <c r="E864" i="15"/>
  <c r="E863" i="15"/>
  <c r="E862" i="15"/>
  <c r="E861" i="15"/>
  <c r="E860" i="15"/>
  <c r="E859" i="15"/>
  <c r="E858" i="15"/>
  <c r="AI852" i="15"/>
  <c r="AG852" i="15"/>
  <c r="AE852" i="15"/>
  <c r="AC852" i="15"/>
  <c r="AA852" i="15"/>
  <c r="Y852" i="15"/>
  <c r="W852" i="15"/>
  <c r="U852" i="15"/>
  <c r="S852" i="15"/>
  <c r="Q852" i="15"/>
  <c r="O852" i="15"/>
  <c r="M852" i="15"/>
  <c r="K852" i="15"/>
  <c r="I852" i="15"/>
  <c r="G852" i="15"/>
  <c r="E851" i="15"/>
  <c r="E850" i="15"/>
  <c r="E849" i="15"/>
  <c r="E848" i="15"/>
  <c r="AI829" i="15"/>
  <c r="AI978" i="15" s="1"/>
  <c r="AE829" i="15"/>
  <c r="AE978" i="15" s="1"/>
  <c r="AC829" i="15"/>
  <c r="AC978" i="15" s="1"/>
  <c r="AA829" i="15"/>
  <c r="AA978" i="15" s="1"/>
  <c r="Y829" i="15"/>
  <c r="Y978" i="15" s="1"/>
  <c r="W829" i="15"/>
  <c r="W978" i="15" s="1"/>
  <c r="U829" i="15"/>
  <c r="U978" i="15" s="1"/>
  <c r="S829" i="15"/>
  <c r="S978" i="15" s="1"/>
  <c r="O829" i="15"/>
  <c r="O978" i="15" s="1"/>
  <c r="M829" i="15"/>
  <c r="M978" i="15" s="1"/>
  <c r="K829" i="15"/>
  <c r="K978" i="15" s="1"/>
  <c r="I829" i="15"/>
  <c r="I978" i="15" s="1"/>
  <c r="G829" i="15"/>
  <c r="G978" i="15" s="1"/>
  <c r="E828" i="15"/>
  <c r="AG827" i="15"/>
  <c r="E826" i="15"/>
  <c r="E825" i="15"/>
  <c r="E824" i="15"/>
  <c r="E823" i="15"/>
  <c r="E822" i="15"/>
  <c r="E821" i="15"/>
  <c r="Q820" i="15"/>
  <c r="AI807" i="15"/>
  <c r="AG807" i="15"/>
  <c r="AE807" i="15"/>
  <c r="AC807" i="15"/>
  <c r="AA807" i="15"/>
  <c r="Y807" i="15"/>
  <c r="W807" i="15"/>
  <c r="U807" i="15"/>
  <c r="S807" i="15"/>
  <c r="Q807" i="15"/>
  <c r="O807" i="15"/>
  <c r="M807" i="15"/>
  <c r="K807" i="15"/>
  <c r="I807" i="15"/>
  <c r="G807" i="15"/>
  <c r="E806" i="15"/>
  <c r="E805" i="15"/>
  <c r="E804" i="15"/>
  <c r="AI802" i="15"/>
  <c r="AG802" i="15"/>
  <c r="AE802" i="15"/>
  <c r="AC802" i="15"/>
  <c r="AA802" i="15"/>
  <c r="Y802" i="15"/>
  <c r="W802" i="15"/>
  <c r="U802" i="15"/>
  <c r="S802" i="15"/>
  <c r="Q802" i="15"/>
  <c r="O802" i="15"/>
  <c r="M802" i="15"/>
  <c r="I802" i="15"/>
  <c r="G802" i="15"/>
  <c r="E801" i="15"/>
  <c r="E800" i="15"/>
  <c r="E799" i="15"/>
  <c r="E798" i="15"/>
  <c r="E797" i="15"/>
  <c r="K796" i="15"/>
  <c r="K802" i="15" s="1"/>
  <c r="AI790" i="15"/>
  <c r="AE790" i="15"/>
  <c r="AD739" i="15" s="1"/>
  <c r="AC790" i="15"/>
  <c r="AB739" i="15" s="1"/>
  <c r="AA790" i="15"/>
  <c r="Z739" i="15" s="1"/>
  <c r="Y790" i="15"/>
  <c r="X739" i="15" s="1"/>
  <c r="W790" i="15"/>
  <c r="V739" i="15" s="1"/>
  <c r="U790" i="15"/>
  <c r="T739" i="15" s="1"/>
  <c r="U756" i="15" s="1"/>
  <c r="S790" i="15"/>
  <c r="R739" i="15" s="1"/>
  <c r="S756" i="15" s="1"/>
  <c r="Q790" i="15"/>
  <c r="P739" i="15" s="1"/>
  <c r="O790" i="15"/>
  <c r="N739" i="15" s="1"/>
  <c r="O756" i="15" s="1"/>
  <c r="M790" i="15"/>
  <c r="L739" i="15" s="1"/>
  <c r="K790" i="15"/>
  <c r="J739" i="15" s="1"/>
  <c r="I790" i="15"/>
  <c r="H739" i="15" s="1"/>
  <c r="G790" i="15"/>
  <c r="F739" i="15" s="1"/>
  <c r="E789" i="15"/>
  <c r="E788" i="15"/>
  <c r="E787" i="15"/>
  <c r="E786" i="15"/>
  <c r="E785" i="15"/>
  <c r="AG784" i="15"/>
  <c r="E779" i="15"/>
  <c r="E778" i="15"/>
  <c r="E777" i="15"/>
  <c r="E772" i="15"/>
  <c r="E771" i="15"/>
  <c r="E770" i="15"/>
  <c r="AI756" i="15"/>
  <c r="AB756" i="15"/>
  <c r="Z756" i="15"/>
  <c r="P756" i="15"/>
  <c r="J756" i="15"/>
  <c r="H756" i="15"/>
  <c r="D755" i="15"/>
  <c r="D754" i="15"/>
  <c r="D753" i="15"/>
  <c r="D751" i="15"/>
  <c r="D750" i="15"/>
  <c r="AF749" i="15"/>
  <c r="D749" i="15" s="1"/>
  <c r="D748" i="15"/>
  <c r="D747" i="15"/>
  <c r="D746" i="15"/>
  <c r="D745" i="15"/>
  <c r="D744" i="15"/>
  <c r="D743" i="15"/>
  <c r="D742" i="15"/>
  <c r="D741" i="15"/>
  <c r="D740" i="15"/>
  <c r="D738" i="15"/>
  <c r="D737" i="15"/>
  <c r="D736" i="15"/>
  <c r="D735" i="15"/>
  <c r="D734" i="15"/>
  <c r="D733" i="15"/>
  <c r="D732" i="15"/>
  <c r="D731" i="15"/>
  <c r="D730" i="15"/>
  <c r="D729" i="15"/>
  <c r="D728" i="15"/>
  <c r="D727" i="15"/>
  <c r="D726" i="15"/>
  <c r="D725" i="15"/>
  <c r="D724" i="15"/>
  <c r="D723" i="15"/>
  <c r="D722" i="15"/>
  <c r="AI719" i="15"/>
  <c r="AG719" i="15"/>
  <c r="AE719" i="15"/>
  <c r="AC719" i="15"/>
  <c r="AA719" i="15"/>
  <c r="Y719" i="15"/>
  <c r="W719" i="15"/>
  <c r="U719" i="15"/>
  <c r="S719" i="15"/>
  <c r="Q719" i="15"/>
  <c r="O719" i="15"/>
  <c r="M719" i="15"/>
  <c r="K719" i="15"/>
  <c r="I719" i="15"/>
  <c r="G719" i="15"/>
  <c r="D719" i="15"/>
  <c r="D718" i="15"/>
  <c r="D717" i="15"/>
  <c r="D716" i="15"/>
  <c r="D715" i="15"/>
  <c r="D714" i="15"/>
  <c r="D713" i="15"/>
  <c r="D712" i="15"/>
  <c r="D711" i="15"/>
  <c r="D710" i="15"/>
  <c r="D709" i="15"/>
  <c r="AI697" i="15"/>
  <c r="AH972" i="15" s="1"/>
  <c r="AG697" i="15"/>
  <c r="AF972" i="15" s="1"/>
  <c r="AE697" i="15"/>
  <c r="AD972" i="15" s="1"/>
  <c r="AC697" i="15"/>
  <c r="AB972" i="15" s="1"/>
  <c r="AA697" i="15"/>
  <c r="Z972" i="15" s="1"/>
  <c r="Y697" i="15"/>
  <c r="X972" i="15" s="1"/>
  <c r="W697" i="15"/>
  <c r="V972" i="15" s="1"/>
  <c r="U697" i="15"/>
  <c r="T972" i="15" s="1"/>
  <c r="S697" i="15"/>
  <c r="R972" i="15" s="1"/>
  <c r="Q697" i="15"/>
  <c r="P972" i="15" s="1"/>
  <c r="O697" i="15"/>
  <c r="N972" i="15" s="1"/>
  <c r="M697" i="15"/>
  <c r="L972" i="15" s="1"/>
  <c r="K697" i="15"/>
  <c r="J972" i="15" s="1"/>
  <c r="I697" i="15"/>
  <c r="H972" i="15" s="1"/>
  <c r="G697" i="15"/>
  <c r="F972" i="15" s="1"/>
  <c r="E696" i="15"/>
  <c r="E695" i="15"/>
  <c r="E694" i="15"/>
  <c r="E693" i="15"/>
  <c r="E681" i="15"/>
  <c r="E679" i="15"/>
  <c r="AI677" i="15"/>
  <c r="AG677" i="15"/>
  <c r="AE677" i="15"/>
  <c r="AC677" i="15"/>
  <c r="AA677" i="15"/>
  <c r="Y677" i="15"/>
  <c r="W677" i="15"/>
  <c r="U677" i="15"/>
  <c r="S677" i="15"/>
  <c r="Q677" i="15"/>
  <c r="O677" i="15"/>
  <c r="M677" i="15"/>
  <c r="K677" i="15"/>
  <c r="I677" i="15"/>
  <c r="G677" i="15"/>
  <c r="D677" i="15"/>
  <c r="D676" i="15"/>
  <c r="D675" i="15"/>
  <c r="D674" i="15"/>
  <c r="AI672" i="15"/>
  <c r="AG672" i="15"/>
  <c r="AE672" i="15"/>
  <c r="AC672" i="15"/>
  <c r="AA672" i="15"/>
  <c r="Y672" i="15"/>
  <c r="W672" i="15"/>
  <c r="U672" i="15"/>
  <c r="S672" i="15"/>
  <c r="O672" i="15"/>
  <c r="M672" i="15"/>
  <c r="K672" i="15"/>
  <c r="I672" i="15"/>
  <c r="G672" i="15"/>
  <c r="D672" i="15"/>
  <c r="D671" i="15"/>
  <c r="D670" i="15"/>
  <c r="D669" i="15"/>
  <c r="D668" i="15"/>
  <c r="D667" i="15"/>
  <c r="D666" i="15"/>
  <c r="D665" i="15"/>
  <c r="P664" i="15"/>
  <c r="D664" i="15" s="1"/>
  <c r="AI655" i="15"/>
  <c r="AG655" i="15"/>
  <c r="AC655" i="15"/>
  <c r="AA655" i="15"/>
  <c r="Y655" i="15"/>
  <c r="W655" i="15"/>
  <c r="U655" i="15"/>
  <c r="Q655" i="15"/>
  <c r="O655" i="15"/>
  <c r="M655" i="15"/>
  <c r="I655" i="15"/>
  <c r="G655" i="15"/>
  <c r="AD654" i="15"/>
  <c r="R654" i="15"/>
  <c r="AD653" i="15"/>
  <c r="J653" i="15"/>
  <c r="K655" i="15" s="1"/>
  <c r="AI651" i="15"/>
  <c r="AG651" i="15"/>
  <c r="AE651" i="15"/>
  <c r="AC651" i="15"/>
  <c r="AA651" i="15"/>
  <c r="Y651" i="15"/>
  <c r="W651" i="15"/>
  <c r="U651" i="15"/>
  <c r="S651" i="15"/>
  <c r="Q651" i="15"/>
  <c r="O651" i="15"/>
  <c r="M651" i="15"/>
  <c r="K651" i="15"/>
  <c r="I651" i="15"/>
  <c r="G651" i="15"/>
  <c r="D650" i="15"/>
  <c r="D649" i="15"/>
  <c r="AI647" i="15"/>
  <c r="AG647" i="15"/>
  <c r="AE647" i="15"/>
  <c r="AC647" i="15"/>
  <c r="AA647" i="15"/>
  <c r="Y647" i="15"/>
  <c r="W647" i="15"/>
  <c r="U647" i="15"/>
  <c r="S647" i="15"/>
  <c r="Q647" i="15"/>
  <c r="O647" i="15"/>
  <c r="M647" i="15"/>
  <c r="K647" i="15"/>
  <c r="I647" i="15"/>
  <c r="G647" i="15"/>
  <c r="D646" i="15"/>
  <c r="D645" i="15"/>
  <c r="AI636" i="15"/>
  <c r="AG636" i="15"/>
  <c r="AC636" i="15"/>
  <c r="AA636" i="15"/>
  <c r="Y636" i="15"/>
  <c r="W636" i="15"/>
  <c r="U636" i="15"/>
  <c r="S636" i="15"/>
  <c r="Q636" i="15"/>
  <c r="O636" i="15"/>
  <c r="M636" i="15"/>
  <c r="I636" i="15"/>
  <c r="G636" i="15"/>
  <c r="D636" i="15"/>
  <c r="D635" i="15"/>
  <c r="D634" i="15"/>
  <c r="D633" i="15"/>
  <c r="D632" i="15"/>
  <c r="D631" i="15"/>
  <c r="AD630" i="15"/>
  <c r="AE636" i="15" s="1"/>
  <c r="J630" i="15"/>
  <c r="AI627" i="15"/>
  <c r="AG627" i="15"/>
  <c r="AE627" i="15"/>
  <c r="AC627" i="15"/>
  <c r="AA627" i="15"/>
  <c r="Y627" i="15"/>
  <c r="W627" i="15"/>
  <c r="U627" i="15"/>
  <c r="Q627" i="15"/>
  <c r="O627" i="15"/>
  <c r="M627" i="15"/>
  <c r="K627" i="15"/>
  <c r="I627" i="15"/>
  <c r="G627" i="15"/>
  <c r="D627" i="15"/>
  <c r="D626" i="15"/>
  <c r="D625" i="15"/>
  <c r="D624" i="15"/>
  <c r="D623" i="15"/>
  <c r="D622" i="15"/>
  <c r="R621" i="15"/>
  <c r="D621" i="15" s="1"/>
  <c r="AI618" i="15"/>
  <c r="AG618" i="15"/>
  <c r="AC618" i="15"/>
  <c r="AA618" i="15"/>
  <c r="Y618" i="15"/>
  <c r="U618" i="15"/>
  <c r="S618" i="15"/>
  <c r="Q618" i="15"/>
  <c r="O618" i="15"/>
  <c r="M618" i="15"/>
  <c r="K618" i="15"/>
  <c r="I618" i="15"/>
  <c r="G618" i="15"/>
  <c r="D618" i="15"/>
  <c r="D617" i="15"/>
  <c r="D616" i="15"/>
  <c r="D615" i="15"/>
  <c r="D614" i="15"/>
  <c r="D613" i="15"/>
  <c r="AD612" i="15"/>
  <c r="AE618" i="15" s="1"/>
  <c r="V612" i="15"/>
  <c r="W618" i="15" s="1"/>
  <c r="AI605" i="15"/>
  <c r="AH968" i="15" s="1"/>
  <c r="AG605" i="15"/>
  <c r="AF968" i="15" s="1"/>
  <c r="AE605" i="15"/>
  <c r="AD968" i="15" s="1"/>
  <c r="AC605" i="15"/>
  <c r="AB968" i="15" s="1"/>
  <c r="AA605" i="15"/>
  <c r="Z968" i="15" s="1"/>
  <c r="Y605" i="15"/>
  <c r="X968" i="15" s="1"/>
  <c r="W605" i="15"/>
  <c r="V968" i="15" s="1"/>
  <c r="U605" i="15"/>
  <c r="T968" i="15" s="1"/>
  <c r="S605" i="15"/>
  <c r="R968" i="15" s="1"/>
  <c r="Q605" i="15"/>
  <c r="P968" i="15" s="1"/>
  <c r="O605" i="15"/>
  <c r="N968" i="15" s="1"/>
  <c r="M605" i="15"/>
  <c r="L968" i="15" s="1"/>
  <c r="K605" i="15"/>
  <c r="J968" i="15" s="1"/>
  <c r="I605" i="15"/>
  <c r="H968" i="15" s="1"/>
  <c r="G605" i="15"/>
  <c r="F968" i="15" s="1"/>
  <c r="E603" i="15"/>
  <c r="E602" i="15"/>
  <c r="E601" i="15"/>
  <c r="E600" i="15"/>
  <c r="AI590" i="15"/>
  <c r="AG590" i="15"/>
  <c r="AE590" i="15"/>
  <c r="AC590" i="15"/>
  <c r="AA590" i="15"/>
  <c r="Y590" i="15"/>
  <c r="W590" i="15"/>
  <c r="U590" i="15"/>
  <c r="S590" i="15"/>
  <c r="O590" i="15"/>
  <c r="M590" i="15"/>
  <c r="K590" i="15"/>
  <c r="I590" i="15"/>
  <c r="G590" i="15"/>
  <c r="D590" i="15"/>
  <c r="D589" i="15"/>
  <c r="D588" i="15"/>
  <c r="P587" i="15"/>
  <c r="D586" i="15"/>
  <c r="E585" i="15"/>
  <c r="E584" i="15"/>
  <c r="AI583" i="15"/>
  <c r="AG583" i="15"/>
  <c r="AE583" i="15"/>
  <c r="AC583" i="15"/>
  <c r="AA583" i="15"/>
  <c r="Y583" i="15"/>
  <c r="W583" i="15"/>
  <c r="U583" i="15"/>
  <c r="S583" i="15"/>
  <c r="Q583" i="15"/>
  <c r="O583" i="15"/>
  <c r="M583" i="15"/>
  <c r="K583" i="15"/>
  <c r="I583" i="15"/>
  <c r="G583" i="15"/>
  <c r="D583" i="15"/>
  <c r="D582" i="15"/>
  <c r="AI580" i="15"/>
  <c r="AF580" i="15"/>
  <c r="AG580" i="15" s="1"/>
  <c r="AE580" i="15"/>
  <c r="AB580" i="15"/>
  <c r="AC580" i="15" s="1"/>
  <c r="AA580" i="15"/>
  <c r="X580" i="15"/>
  <c r="Y580" i="15" s="1"/>
  <c r="W580" i="15"/>
  <c r="U580" i="15"/>
  <c r="R580" i="15"/>
  <c r="S580" i="15" s="1"/>
  <c r="Q580" i="15"/>
  <c r="O580" i="15"/>
  <c r="M580" i="15"/>
  <c r="K580" i="15"/>
  <c r="I580" i="15"/>
  <c r="G580" i="15"/>
  <c r="D579" i="15"/>
  <c r="D578" i="15"/>
  <c r="AI566" i="15"/>
  <c r="AG566" i="15"/>
  <c r="AE566" i="15"/>
  <c r="AC566" i="15"/>
  <c r="AA566" i="15"/>
  <c r="Y566" i="15"/>
  <c r="W566" i="15"/>
  <c r="U566" i="15"/>
  <c r="S566" i="15"/>
  <c r="Q566" i="15"/>
  <c r="O566" i="15"/>
  <c r="M566" i="15"/>
  <c r="K566" i="15"/>
  <c r="I566" i="15"/>
  <c r="G566" i="15"/>
  <c r="D566" i="15"/>
  <c r="E566" i="15" s="1"/>
  <c r="AI563" i="15"/>
  <c r="AI564" i="15" s="1"/>
  <c r="AI567" i="15" s="1"/>
  <c r="AH963" i="15" s="1"/>
  <c r="AF563" i="15"/>
  <c r="D563" i="15" s="1"/>
  <c r="AE563" i="15"/>
  <c r="AE564" i="15" s="1"/>
  <c r="AC563" i="15"/>
  <c r="AC564" i="15" s="1"/>
  <c r="AA563" i="15"/>
  <c r="AA564" i="15" s="1"/>
  <c r="Y563" i="15"/>
  <c r="Y564" i="15" s="1"/>
  <c r="W563" i="15"/>
  <c r="W564" i="15" s="1"/>
  <c r="U563" i="15"/>
  <c r="U564" i="15" s="1"/>
  <c r="S563" i="15"/>
  <c r="S564" i="15" s="1"/>
  <c r="Q563" i="15"/>
  <c r="Q564" i="15" s="1"/>
  <c r="O563" i="15"/>
  <c r="O564" i="15" s="1"/>
  <c r="M563" i="15"/>
  <c r="M564" i="15" s="1"/>
  <c r="K563" i="15"/>
  <c r="K564" i="15" s="1"/>
  <c r="I563" i="15"/>
  <c r="I564" i="15" s="1"/>
  <c r="G563" i="15"/>
  <c r="G564" i="15" s="1"/>
  <c r="D562" i="15"/>
  <c r="D561" i="15"/>
  <c r="D560" i="15"/>
  <c r="E558" i="15"/>
  <c r="E557" i="15"/>
  <c r="D517" i="15"/>
  <c r="AH516" i="15"/>
  <c r="AI517" i="15" s="1"/>
  <c r="AI519" i="15" s="1"/>
  <c r="AH953" i="15" s="1"/>
  <c r="AF516" i="15"/>
  <c r="AG517" i="15" s="1"/>
  <c r="AG519" i="15" s="1"/>
  <c r="AF953" i="15" s="1"/>
  <c r="AD516" i="15"/>
  <c r="AE517" i="15" s="1"/>
  <c r="AE519" i="15" s="1"/>
  <c r="AD953" i="15" s="1"/>
  <c r="AB516" i="15"/>
  <c r="AC517" i="15" s="1"/>
  <c r="AC519" i="15" s="1"/>
  <c r="AB953" i="15" s="1"/>
  <c r="Z516" i="15"/>
  <c r="AA517" i="15" s="1"/>
  <c r="AA519" i="15" s="1"/>
  <c r="Z953" i="15" s="1"/>
  <c r="X516" i="15"/>
  <c r="Y517" i="15" s="1"/>
  <c r="Y519" i="15" s="1"/>
  <c r="X953" i="15" s="1"/>
  <c r="V516" i="15"/>
  <c r="W517" i="15" s="1"/>
  <c r="W519" i="15" s="1"/>
  <c r="V953" i="15" s="1"/>
  <c r="T516" i="15"/>
  <c r="U517" i="15" s="1"/>
  <c r="U519" i="15" s="1"/>
  <c r="T953" i="15" s="1"/>
  <c r="R516" i="15"/>
  <c r="S517" i="15" s="1"/>
  <c r="S519" i="15" s="1"/>
  <c r="R953" i="15" s="1"/>
  <c r="P516" i="15"/>
  <c r="Q517" i="15" s="1"/>
  <c r="Q519" i="15" s="1"/>
  <c r="P953" i="15" s="1"/>
  <c r="N516" i="15"/>
  <c r="O517" i="15" s="1"/>
  <c r="O519" i="15" s="1"/>
  <c r="N953" i="15" s="1"/>
  <c r="L516" i="15"/>
  <c r="M517" i="15" s="1"/>
  <c r="M519" i="15" s="1"/>
  <c r="L953" i="15" s="1"/>
  <c r="J516" i="15"/>
  <c r="K517" i="15" s="1"/>
  <c r="K519" i="15" s="1"/>
  <c r="J953" i="15" s="1"/>
  <c r="H516" i="15"/>
  <c r="I517" i="15" s="1"/>
  <c r="I519" i="15" s="1"/>
  <c r="H953" i="15" s="1"/>
  <c r="F516" i="15"/>
  <c r="G517" i="15" s="1"/>
  <c r="G519" i="15" s="1"/>
  <c r="F953" i="15" s="1"/>
  <c r="D515" i="15"/>
  <c r="D514" i="15"/>
  <c r="E504" i="15"/>
  <c r="AF502" i="15"/>
  <c r="AD502" i="15"/>
  <c r="Z502" i="15"/>
  <c r="T502" i="15"/>
  <c r="N502" i="15"/>
  <c r="J502" i="15"/>
  <c r="F502" i="15"/>
  <c r="AH501" i="15"/>
  <c r="AI502" i="15" s="1"/>
  <c r="AF501" i="15"/>
  <c r="AD501" i="15"/>
  <c r="AB501" i="15"/>
  <c r="AC502" i="15" s="1"/>
  <c r="Z501" i="15"/>
  <c r="X501" i="15"/>
  <c r="Y502" i="15" s="1"/>
  <c r="V501" i="15"/>
  <c r="W502" i="15" s="1"/>
  <c r="T501" i="15"/>
  <c r="R501" i="15"/>
  <c r="S502" i="15" s="1"/>
  <c r="P501" i="15"/>
  <c r="Q502" i="15" s="1"/>
  <c r="N501" i="15"/>
  <c r="L501" i="15"/>
  <c r="M502" i="15" s="1"/>
  <c r="J501" i="15"/>
  <c r="H501" i="15"/>
  <c r="I502" i="15" s="1"/>
  <c r="F501" i="15"/>
  <c r="D500" i="15"/>
  <c r="D499" i="15"/>
  <c r="D498" i="15"/>
  <c r="AH495" i="15"/>
  <c r="AF495" i="15"/>
  <c r="AD495" i="15"/>
  <c r="AB495" i="15"/>
  <c r="Z495" i="15"/>
  <c r="X495" i="15"/>
  <c r="V495" i="15"/>
  <c r="T495" i="15"/>
  <c r="N495" i="15"/>
  <c r="J495" i="15"/>
  <c r="H495" i="15"/>
  <c r="F495" i="15"/>
  <c r="AH494" i="15"/>
  <c r="AF494" i="15"/>
  <c r="AG495" i="15" s="1"/>
  <c r="AD494" i="15"/>
  <c r="AE495" i="15" s="1"/>
  <c r="Z494" i="15"/>
  <c r="X494" i="15"/>
  <c r="T494" i="15"/>
  <c r="R494" i="15"/>
  <c r="S495" i="15" s="1"/>
  <c r="P494" i="15"/>
  <c r="Q495" i="15" s="1"/>
  <c r="N494" i="15"/>
  <c r="O495" i="15" s="1"/>
  <c r="L494" i="15"/>
  <c r="M495" i="15" s="1"/>
  <c r="J494" i="15"/>
  <c r="H494" i="15"/>
  <c r="F494" i="15"/>
  <c r="D493" i="15"/>
  <c r="V492" i="15"/>
  <c r="V494" i="15" s="1"/>
  <c r="W495" i="15" s="1"/>
  <c r="AB491" i="15"/>
  <c r="AB494" i="15" s="1"/>
  <c r="AI489" i="15"/>
  <c r="AG489" i="15"/>
  <c r="AE489" i="15"/>
  <c r="AC489" i="15"/>
  <c r="AA489" i="15"/>
  <c r="Y489" i="15"/>
  <c r="W489" i="15"/>
  <c r="U489" i="15"/>
  <c r="S489" i="15"/>
  <c r="Q489" i="15"/>
  <c r="O489" i="15"/>
  <c r="M489" i="15"/>
  <c r="K489" i="15"/>
  <c r="I489" i="15"/>
  <c r="G489" i="15"/>
  <c r="D488" i="15"/>
  <c r="D487" i="15"/>
  <c r="D485" i="15"/>
  <c r="AH484" i="15"/>
  <c r="AI485" i="15" s="1"/>
  <c r="AF484" i="15"/>
  <c r="AG485" i="15" s="1"/>
  <c r="AD484" i="15"/>
  <c r="AE485" i="15" s="1"/>
  <c r="AB484" i="15"/>
  <c r="AC485" i="15" s="1"/>
  <c r="Z484" i="15"/>
  <c r="AA485" i="15" s="1"/>
  <c r="X484" i="15"/>
  <c r="Y485" i="15" s="1"/>
  <c r="V484" i="15"/>
  <c r="W485" i="15" s="1"/>
  <c r="T484" i="15"/>
  <c r="U485" i="15" s="1"/>
  <c r="R484" i="15"/>
  <c r="S485" i="15" s="1"/>
  <c r="P484" i="15"/>
  <c r="Q485" i="15" s="1"/>
  <c r="N484" i="15"/>
  <c r="O485" i="15" s="1"/>
  <c r="L484" i="15"/>
  <c r="M485" i="15" s="1"/>
  <c r="J484" i="15"/>
  <c r="K485" i="15" s="1"/>
  <c r="H484" i="15"/>
  <c r="I485" i="15" s="1"/>
  <c r="F484" i="15"/>
  <c r="G485" i="15" s="1"/>
  <c r="D483" i="15"/>
  <c r="D482" i="15"/>
  <c r="D481" i="15"/>
  <c r="AI470" i="15"/>
  <c r="AG470" i="15"/>
  <c r="AE470" i="15"/>
  <c r="AC470" i="15"/>
  <c r="AA470" i="15"/>
  <c r="Y470" i="15"/>
  <c r="W470" i="15"/>
  <c r="U470" i="15"/>
  <c r="S470" i="15"/>
  <c r="Q470" i="15"/>
  <c r="O470" i="15"/>
  <c r="M470" i="15"/>
  <c r="K470" i="15"/>
  <c r="I470" i="15"/>
  <c r="G470" i="15"/>
  <c r="D470" i="15"/>
  <c r="D469" i="15"/>
  <c r="D468" i="15"/>
  <c r="AI464" i="15"/>
  <c r="AG464" i="15"/>
  <c r="AE464" i="15"/>
  <c r="AC464" i="15"/>
  <c r="AA464" i="15"/>
  <c r="Y464" i="15"/>
  <c r="W464" i="15"/>
  <c r="U464" i="15"/>
  <c r="S464" i="15"/>
  <c r="Q464" i="15"/>
  <c r="O464" i="15"/>
  <c r="M464" i="15"/>
  <c r="K464" i="15"/>
  <c r="I464" i="15"/>
  <c r="G464" i="15"/>
  <c r="D464" i="15"/>
  <c r="D463" i="15"/>
  <c r="D462" i="15"/>
  <c r="E460" i="15"/>
  <c r="E459" i="15"/>
  <c r="AF448" i="15"/>
  <c r="L448" i="15"/>
  <c r="H448" i="15"/>
  <c r="F448" i="15"/>
  <c r="AH447" i="15"/>
  <c r="AI448" i="15" s="1"/>
  <c r="AF447" i="15"/>
  <c r="AD447" i="15"/>
  <c r="AE448" i="15" s="1"/>
  <c r="AB447" i="15"/>
  <c r="AC448" i="15" s="1"/>
  <c r="Z447" i="15"/>
  <c r="AA448" i="15" s="1"/>
  <c r="X447" i="15"/>
  <c r="Y448" i="15" s="1"/>
  <c r="V447" i="15"/>
  <c r="W448" i="15" s="1"/>
  <c r="T447" i="15"/>
  <c r="U448" i="15" s="1"/>
  <c r="R447" i="15"/>
  <c r="S448" i="15" s="1"/>
  <c r="P447" i="15"/>
  <c r="Q448" i="15" s="1"/>
  <c r="N447" i="15"/>
  <c r="O448" i="15" s="1"/>
  <c r="L447" i="15"/>
  <c r="J447" i="15"/>
  <c r="K448" i="15" s="1"/>
  <c r="H447" i="15"/>
  <c r="F447" i="15"/>
  <c r="D446" i="15"/>
  <c r="D445" i="15"/>
  <c r="D444" i="15"/>
  <c r="AF441" i="15"/>
  <c r="Z441" i="15"/>
  <c r="X441" i="15"/>
  <c r="T441" i="15"/>
  <c r="R441" i="15"/>
  <c r="P441" i="15"/>
  <c r="J441" i="15"/>
  <c r="AH440" i="15"/>
  <c r="AI441" i="15" s="1"/>
  <c r="AF440" i="15"/>
  <c r="AD440" i="15"/>
  <c r="AE441" i="15" s="1"/>
  <c r="AB440" i="15"/>
  <c r="AC441" i="15" s="1"/>
  <c r="Z440" i="15"/>
  <c r="X440" i="15"/>
  <c r="T440" i="15"/>
  <c r="R440" i="15"/>
  <c r="P440" i="15"/>
  <c r="N440" i="15"/>
  <c r="O441" i="15" s="1"/>
  <c r="L440" i="15"/>
  <c r="M441" i="15" s="1"/>
  <c r="H440" i="15"/>
  <c r="I441" i="15" s="1"/>
  <c r="F440" i="15"/>
  <c r="G441" i="15" s="1"/>
  <c r="D439" i="15"/>
  <c r="J438" i="15"/>
  <c r="J440" i="15" s="1"/>
  <c r="V437" i="15"/>
  <c r="D437" i="15" s="1"/>
  <c r="E428" i="15"/>
  <c r="D428" i="15"/>
  <c r="E427" i="15"/>
  <c r="D427" i="15"/>
  <c r="E426" i="15"/>
  <c r="D426" i="15"/>
  <c r="AI410" i="15"/>
  <c r="AI412" i="15" s="1"/>
  <c r="AH949" i="15" s="1"/>
  <c r="AG410" i="15"/>
  <c r="AG412" i="15" s="1"/>
  <c r="AF949" i="15" s="1"/>
  <c r="AE410" i="15"/>
  <c r="AE412" i="15" s="1"/>
  <c r="AD949" i="15" s="1"/>
  <c r="AC410" i="15"/>
  <c r="AC412" i="15" s="1"/>
  <c r="AB949" i="15" s="1"/>
  <c r="AA410" i="15"/>
  <c r="AA412" i="15" s="1"/>
  <c r="Z949" i="15" s="1"/>
  <c r="Y410" i="15"/>
  <c r="Y412" i="15" s="1"/>
  <c r="X949" i="15" s="1"/>
  <c r="W410" i="15"/>
  <c r="W412" i="15" s="1"/>
  <c r="V949" i="15" s="1"/>
  <c r="U410" i="15"/>
  <c r="U412" i="15" s="1"/>
  <c r="T949" i="15" s="1"/>
  <c r="S410" i="15"/>
  <c r="S412" i="15" s="1"/>
  <c r="R949" i="15" s="1"/>
  <c r="Q410" i="15"/>
  <c r="Q412" i="15" s="1"/>
  <c r="P949" i="15" s="1"/>
  <c r="O410" i="15"/>
  <c r="O412" i="15" s="1"/>
  <c r="N949" i="15" s="1"/>
  <c r="M410" i="15"/>
  <c r="M412" i="15" s="1"/>
  <c r="L949" i="15" s="1"/>
  <c r="K410" i="15"/>
  <c r="K412" i="15" s="1"/>
  <c r="J949" i="15" s="1"/>
  <c r="I410" i="15"/>
  <c r="I412" i="15" s="1"/>
  <c r="H949" i="15" s="1"/>
  <c r="G410" i="15"/>
  <c r="G412" i="15" s="1"/>
  <c r="F949" i="15" s="1"/>
  <c r="D410" i="15"/>
  <c r="D409" i="15"/>
  <c r="D408" i="15"/>
  <c r="D407" i="15"/>
  <c r="D405" i="15"/>
  <c r="D404" i="15"/>
  <c r="D403" i="15"/>
  <c r="D402" i="15"/>
  <c r="AI390" i="15"/>
  <c r="AG390" i="15"/>
  <c r="AE390" i="15"/>
  <c r="AC390" i="15"/>
  <c r="AA390" i="15"/>
  <c r="Y390" i="15"/>
  <c r="W390" i="15"/>
  <c r="U390" i="15"/>
  <c r="S390" i="15"/>
  <c r="Q390" i="15"/>
  <c r="O390" i="15"/>
  <c r="M390" i="15"/>
  <c r="K390" i="15"/>
  <c r="I390" i="15"/>
  <c r="G390" i="15"/>
  <c r="D390" i="15"/>
  <c r="D389" i="15"/>
  <c r="D388" i="15"/>
  <c r="D387" i="15"/>
  <c r="E385" i="15"/>
  <c r="AI382" i="15"/>
  <c r="AG382" i="15"/>
  <c r="AG392" i="15" s="1"/>
  <c r="AF948" i="15" s="1"/>
  <c r="AE382" i="15"/>
  <c r="AE392" i="15" s="1"/>
  <c r="AD948" i="15" s="1"/>
  <c r="AC382" i="15"/>
  <c r="AC392" i="15" s="1"/>
  <c r="AB948" i="15" s="1"/>
  <c r="AA382" i="15"/>
  <c r="AA392" i="15" s="1"/>
  <c r="Z948" i="15" s="1"/>
  <c r="Y382" i="15"/>
  <c r="Y392" i="15" s="1"/>
  <c r="X948" i="15" s="1"/>
  <c r="W382" i="15"/>
  <c r="W392" i="15" s="1"/>
  <c r="V948" i="15" s="1"/>
  <c r="U382" i="15"/>
  <c r="U392" i="15" s="1"/>
  <c r="T948" i="15" s="1"/>
  <c r="S382" i="15"/>
  <c r="Q382" i="15"/>
  <c r="Q392" i="15" s="1"/>
  <c r="P948" i="15" s="1"/>
  <c r="O382" i="15"/>
  <c r="O392" i="15" s="1"/>
  <c r="N948" i="15" s="1"/>
  <c r="M382" i="15"/>
  <c r="M392" i="15" s="1"/>
  <c r="L948" i="15" s="1"/>
  <c r="K382" i="15"/>
  <c r="K392" i="15" s="1"/>
  <c r="J948" i="15" s="1"/>
  <c r="I382" i="15"/>
  <c r="I392" i="15" s="1"/>
  <c r="H948" i="15" s="1"/>
  <c r="G382" i="15"/>
  <c r="G392" i="15" s="1"/>
  <c r="F948" i="15" s="1"/>
  <c r="D382" i="15"/>
  <c r="D381" i="15"/>
  <c r="D380" i="15"/>
  <c r="D379" i="15"/>
  <c r="AF365" i="15"/>
  <c r="D365" i="15" s="1"/>
  <c r="AH364" i="15"/>
  <c r="AI365" i="15" s="1"/>
  <c r="AF364" i="15"/>
  <c r="AD364" i="15"/>
  <c r="AE365" i="15" s="1"/>
  <c r="AB364" i="15"/>
  <c r="AC365" i="15" s="1"/>
  <c r="Z364" i="15"/>
  <c r="AA365" i="15" s="1"/>
  <c r="X364" i="15"/>
  <c r="Y365" i="15" s="1"/>
  <c r="V364" i="15"/>
  <c r="W365" i="15" s="1"/>
  <c r="T364" i="15"/>
  <c r="U365" i="15" s="1"/>
  <c r="R364" i="15"/>
  <c r="S365" i="15" s="1"/>
  <c r="P364" i="15"/>
  <c r="Q365" i="15" s="1"/>
  <c r="N364" i="15"/>
  <c r="O365" i="15" s="1"/>
  <c r="L364" i="15"/>
  <c r="M365" i="15" s="1"/>
  <c r="J364" i="15"/>
  <c r="K365" i="15" s="1"/>
  <c r="H364" i="15"/>
  <c r="I365" i="15" s="1"/>
  <c r="F364" i="15"/>
  <c r="G365" i="15" s="1"/>
  <c r="D363" i="15"/>
  <c r="D362" i="15"/>
  <c r="D361" i="15"/>
  <c r="AD359" i="15"/>
  <c r="AB359" i="15"/>
  <c r="Z359" i="15"/>
  <c r="V359" i="15"/>
  <c r="P359" i="15"/>
  <c r="L359" i="15"/>
  <c r="J359" i="15"/>
  <c r="H359" i="15"/>
  <c r="F359" i="15"/>
  <c r="AH358" i="15"/>
  <c r="AI359" i="15" s="1"/>
  <c r="AD358" i="15"/>
  <c r="AB358" i="15"/>
  <c r="Z358" i="15"/>
  <c r="X358" i="15"/>
  <c r="Y359" i="15" s="1"/>
  <c r="V358" i="15"/>
  <c r="T358" i="15"/>
  <c r="U359" i="15" s="1"/>
  <c r="R358" i="15"/>
  <c r="S359" i="15" s="1"/>
  <c r="P358" i="15"/>
  <c r="Q359" i="15" s="1"/>
  <c r="N358" i="15"/>
  <c r="O359" i="15" s="1"/>
  <c r="L358" i="15"/>
  <c r="J358" i="15"/>
  <c r="H358" i="15"/>
  <c r="F358" i="15"/>
  <c r="AF357" i="15"/>
  <c r="AF358" i="15" s="1"/>
  <c r="D356" i="15"/>
  <c r="D355" i="15"/>
  <c r="AH343" i="15"/>
  <c r="AD343" i="15"/>
  <c r="AB343" i="15"/>
  <c r="Z343" i="15"/>
  <c r="V343" i="15"/>
  <c r="P343" i="15"/>
  <c r="F343" i="15"/>
  <c r="AH342" i="15"/>
  <c r="AD342" i="15"/>
  <c r="AB342" i="15"/>
  <c r="Z342" i="15"/>
  <c r="X342" i="15"/>
  <c r="Y343" i="15" s="1"/>
  <c r="V342" i="15"/>
  <c r="T342" i="15"/>
  <c r="U343" i="15" s="1"/>
  <c r="R342" i="15"/>
  <c r="S343" i="15" s="1"/>
  <c r="N342" i="15"/>
  <c r="O343" i="15" s="1"/>
  <c r="L342" i="15"/>
  <c r="M343" i="15" s="1"/>
  <c r="F342" i="15"/>
  <c r="D341" i="15"/>
  <c r="D340" i="15"/>
  <c r="D339" i="15"/>
  <c r="AF338" i="15"/>
  <c r="P338" i="15"/>
  <c r="P342" i="15" s="1"/>
  <c r="J336" i="15"/>
  <c r="J342" i="15" s="1"/>
  <c r="K343" i="15" s="1"/>
  <c r="H336" i="15"/>
  <c r="D335" i="15"/>
  <c r="D334" i="15"/>
  <c r="F330" i="15"/>
  <c r="D330" i="15" s="1"/>
  <c r="AH329" i="15"/>
  <c r="AI330" i="15" s="1"/>
  <c r="AF329" i="15"/>
  <c r="AG330" i="15" s="1"/>
  <c r="AD329" i="15"/>
  <c r="AE330" i="15" s="1"/>
  <c r="AB329" i="15"/>
  <c r="AC330" i="15" s="1"/>
  <c r="Z329" i="15"/>
  <c r="AA330" i="15" s="1"/>
  <c r="X329" i="15"/>
  <c r="Y330" i="15" s="1"/>
  <c r="V329" i="15"/>
  <c r="W330" i="15" s="1"/>
  <c r="T329" i="15"/>
  <c r="U330" i="15" s="1"/>
  <c r="R329" i="15"/>
  <c r="S330" i="15" s="1"/>
  <c r="P329" i="15"/>
  <c r="Q330" i="15" s="1"/>
  <c r="N329" i="15"/>
  <c r="O330" i="15" s="1"/>
  <c r="L329" i="15"/>
  <c r="M330" i="15" s="1"/>
  <c r="J329" i="15"/>
  <c r="K330" i="15" s="1"/>
  <c r="H329" i="15"/>
  <c r="I330" i="15" s="1"/>
  <c r="F329" i="15"/>
  <c r="D328" i="15"/>
  <c r="D327" i="15"/>
  <c r="D326" i="15"/>
  <c r="AB323" i="15"/>
  <c r="F323" i="15"/>
  <c r="D323" i="15" s="1"/>
  <c r="AH322" i="15"/>
  <c r="AI323" i="15" s="1"/>
  <c r="AF322" i="15"/>
  <c r="AG323" i="15" s="1"/>
  <c r="AD322" i="15"/>
  <c r="AE323" i="15" s="1"/>
  <c r="AB322" i="15"/>
  <c r="Z322" i="15"/>
  <c r="AA323" i="15" s="1"/>
  <c r="X322" i="15"/>
  <c r="Y323" i="15" s="1"/>
  <c r="V322" i="15"/>
  <c r="W323" i="15" s="1"/>
  <c r="T322" i="15"/>
  <c r="U323" i="15" s="1"/>
  <c r="R322" i="15"/>
  <c r="S323" i="15" s="1"/>
  <c r="P322" i="15"/>
  <c r="Q323" i="15" s="1"/>
  <c r="N322" i="15"/>
  <c r="O323" i="15" s="1"/>
  <c r="L322" i="15"/>
  <c r="M323" i="15" s="1"/>
  <c r="J322" i="15"/>
  <c r="K323" i="15" s="1"/>
  <c r="H322" i="15"/>
  <c r="I323" i="15" s="1"/>
  <c r="F322" i="15"/>
  <c r="D321" i="15"/>
  <c r="D320" i="15"/>
  <c r="D319" i="15"/>
  <c r="D316" i="15"/>
  <c r="AH315" i="15"/>
  <c r="AI316" i="15" s="1"/>
  <c r="AF315" i="15"/>
  <c r="AG316" i="15" s="1"/>
  <c r="AD315" i="15"/>
  <c r="AE316" i="15" s="1"/>
  <c r="AB315" i="15"/>
  <c r="AC316" i="15" s="1"/>
  <c r="Z315" i="15"/>
  <c r="AA316" i="15" s="1"/>
  <c r="X315" i="15"/>
  <c r="Y316" i="15" s="1"/>
  <c r="V315" i="15"/>
  <c r="W316" i="15" s="1"/>
  <c r="T315" i="15"/>
  <c r="U316" i="15" s="1"/>
  <c r="R315" i="15"/>
  <c r="S316" i="15" s="1"/>
  <c r="P315" i="15"/>
  <c r="Q316" i="15" s="1"/>
  <c r="N315" i="15"/>
  <c r="O316" i="15" s="1"/>
  <c r="L315" i="15"/>
  <c r="M316" i="15" s="1"/>
  <c r="J315" i="15"/>
  <c r="K316" i="15" s="1"/>
  <c r="H315" i="15"/>
  <c r="I316" i="15" s="1"/>
  <c r="F315" i="15"/>
  <c r="G316" i="15" s="1"/>
  <c r="D314" i="15"/>
  <c r="D313" i="15"/>
  <c r="D312" i="15"/>
  <c r="E306" i="15"/>
  <c r="D306" i="15"/>
  <c r="F304" i="15"/>
  <c r="F303" i="15"/>
  <c r="F302" i="15"/>
  <c r="F301" i="15"/>
  <c r="F300" i="15"/>
  <c r="F299" i="15"/>
  <c r="F298" i="15"/>
  <c r="G287" i="15"/>
  <c r="D286" i="15"/>
  <c r="D285" i="15"/>
  <c r="E282" i="15"/>
  <c r="D278" i="15"/>
  <c r="D276" i="15"/>
  <c r="D274" i="15"/>
  <c r="D272" i="15"/>
  <c r="D270" i="15"/>
  <c r="D268" i="15"/>
  <c r="D266" i="15"/>
  <c r="F264" i="15"/>
  <c r="D263" i="15"/>
  <c r="D262" i="15"/>
  <c r="F260" i="15"/>
  <c r="D259" i="15"/>
  <c r="D258" i="15"/>
  <c r="G255" i="15"/>
  <c r="D255" i="15"/>
  <c r="D253" i="15"/>
  <c r="E250" i="15"/>
  <c r="AI234" i="15"/>
  <c r="AG234" i="15"/>
  <c r="AE234" i="15"/>
  <c r="AC234" i="15"/>
  <c r="AA234" i="15"/>
  <c r="Y234" i="15"/>
  <c r="W234" i="15"/>
  <c r="U234" i="15"/>
  <c r="S234" i="15"/>
  <c r="Q234" i="15"/>
  <c r="O234" i="15"/>
  <c r="M234" i="15"/>
  <c r="K234" i="15"/>
  <c r="I234" i="15"/>
  <c r="G234" i="15"/>
  <c r="D234" i="15"/>
  <c r="D233" i="15"/>
  <c r="D232" i="15"/>
  <c r="D231" i="15"/>
  <c r="D230" i="15"/>
  <c r="AI227" i="15"/>
  <c r="AI236" i="15" s="1"/>
  <c r="AH932" i="15" s="1"/>
  <c r="AG227" i="15"/>
  <c r="AG236" i="15" s="1"/>
  <c r="AF932" i="15" s="1"/>
  <c r="AE227" i="15"/>
  <c r="AC227" i="15"/>
  <c r="AC236" i="15" s="1"/>
  <c r="AB932" i="15" s="1"/>
  <c r="AA227" i="15"/>
  <c r="AA236" i="15" s="1"/>
  <c r="Z932" i="15" s="1"/>
  <c r="Y227" i="15"/>
  <c r="Y236" i="15" s="1"/>
  <c r="X932" i="15" s="1"/>
  <c r="W227" i="15"/>
  <c r="W236" i="15" s="1"/>
  <c r="V932" i="15" s="1"/>
  <c r="U227" i="15"/>
  <c r="U236" i="15" s="1"/>
  <c r="T932" i="15" s="1"/>
  <c r="S227" i="15"/>
  <c r="S236" i="15" s="1"/>
  <c r="R932" i="15" s="1"/>
  <c r="Q227" i="15"/>
  <c r="Q236" i="15" s="1"/>
  <c r="P932" i="15" s="1"/>
  <c r="O227" i="15"/>
  <c r="M227" i="15"/>
  <c r="M236" i="15" s="1"/>
  <c r="L932" i="15" s="1"/>
  <c r="K227" i="15"/>
  <c r="K236" i="15" s="1"/>
  <c r="J932" i="15" s="1"/>
  <c r="I227" i="15"/>
  <c r="I236" i="15" s="1"/>
  <c r="H932" i="15" s="1"/>
  <c r="G227" i="15"/>
  <c r="G236" i="15" s="1"/>
  <c r="F932" i="15" s="1"/>
  <c r="D226" i="15"/>
  <c r="D225" i="15"/>
  <c r="D224" i="15"/>
  <c r="D223" i="15"/>
  <c r="D222" i="15"/>
  <c r="D221" i="15"/>
  <c r="D220" i="15"/>
  <c r="D219" i="15"/>
  <c r="D218" i="15"/>
  <c r="D217" i="15"/>
  <c r="AI208" i="15"/>
  <c r="AI211" i="15" s="1"/>
  <c r="AH931" i="15" s="1"/>
  <c r="AF208" i="15"/>
  <c r="AG208" i="15" s="1"/>
  <c r="AG211" i="15" s="1"/>
  <c r="AF931" i="15" s="1"/>
  <c r="AB208" i="15"/>
  <c r="AC208" i="15" s="1"/>
  <c r="AC211" i="15" s="1"/>
  <c r="AB931" i="15" s="1"/>
  <c r="Z208" i="15"/>
  <c r="AA208" i="15" s="1"/>
  <c r="AA211" i="15" s="1"/>
  <c r="Z931" i="15" s="1"/>
  <c r="Y208" i="15"/>
  <c r="Y211" i="15" s="1"/>
  <c r="X931" i="15" s="1"/>
  <c r="V208" i="15"/>
  <c r="U208" i="15"/>
  <c r="U211" i="15" s="1"/>
  <c r="T931" i="15" s="1"/>
  <c r="S208" i="15"/>
  <c r="S211" i="15" s="1"/>
  <c r="R931" i="15" s="1"/>
  <c r="P208" i="15"/>
  <c r="Q208" i="15" s="1"/>
  <c r="Q211" i="15" s="1"/>
  <c r="P931" i="15" s="1"/>
  <c r="L208" i="15"/>
  <c r="M208" i="15" s="1"/>
  <c r="M211" i="15" s="1"/>
  <c r="L931" i="15" s="1"/>
  <c r="J208" i="15"/>
  <c r="H208" i="15"/>
  <c r="I208" i="15" s="1"/>
  <c r="I211" i="15" s="1"/>
  <c r="H931" i="15" s="1"/>
  <c r="G208" i="15"/>
  <c r="G211" i="15" s="1"/>
  <c r="F931" i="15" s="1"/>
  <c r="D207" i="15"/>
  <c r="D206" i="15"/>
  <c r="AD205" i="15"/>
  <c r="AE208" i="15" s="1"/>
  <c r="AE211" i="15" s="1"/>
  <c r="AD931" i="15" s="1"/>
  <c r="V205" i="15"/>
  <c r="D204" i="15"/>
  <c r="D203" i="15"/>
  <c r="D202" i="15"/>
  <c r="D201" i="15"/>
  <c r="D200" i="15"/>
  <c r="D199" i="15"/>
  <c r="D198" i="15"/>
  <c r="D197" i="15"/>
  <c r="D196" i="15"/>
  <c r="D195" i="15"/>
  <c r="E194" i="15"/>
  <c r="E193" i="15"/>
  <c r="E192" i="15"/>
  <c r="E191" i="15"/>
  <c r="E180" i="15"/>
  <c r="AI179" i="15"/>
  <c r="AI182" i="15" s="1"/>
  <c r="AH930" i="15" s="1"/>
  <c r="AG179" i="15"/>
  <c r="AG182" i="15" s="1"/>
  <c r="AF930" i="15" s="1"/>
  <c r="AC179" i="15"/>
  <c r="AC182" i="15" s="1"/>
  <c r="AB930" i="15" s="1"/>
  <c r="AA179" i="15"/>
  <c r="AA182" i="15" s="1"/>
  <c r="Z930" i="15" s="1"/>
  <c r="Y179" i="15"/>
  <c r="Y182" i="15" s="1"/>
  <c r="X930" i="15" s="1"/>
  <c r="W179" i="15"/>
  <c r="W182" i="15" s="1"/>
  <c r="V930" i="15" s="1"/>
  <c r="U179" i="15"/>
  <c r="U182" i="15" s="1"/>
  <c r="T930" i="15" s="1"/>
  <c r="S179" i="15"/>
  <c r="S182" i="15" s="1"/>
  <c r="R930" i="15" s="1"/>
  <c r="Q179" i="15"/>
  <c r="Q182" i="15" s="1"/>
  <c r="P930" i="15" s="1"/>
  <c r="O179" i="15"/>
  <c r="O182" i="15" s="1"/>
  <c r="N930" i="15" s="1"/>
  <c r="K179" i="15"/>
  <c r="K182" i="15" s="1"/>
  <c r="J930" i="15" s="1"/>
  <c r="I179" i="15"/>
  <c r="I182" i="15" s="1"/>
  <c r="H930" i="15" s="1"/>
  <c r="G179" i="15"/>
  <c r="G182" i="15" s="1"/>
  <c r="F930" i="15" s="1"/>
  <c r="D179" i="15"/>
  <c r="AD178" i="15"/>
  <c r="AE179" i="15" s="1"/>
  <c r="AE182" i="15" s="1"/>
  <c r="AD930" i="15" s="1"/>
  <c r="L178" i="15"/>
  <c r="M179" i="15" s="1"/>
  <c r="M182" i="15" s="1"/>
  <c r="L930" i="15" s="1"/>
  <c r="E165" i="15"/>
  <c r="AI163" i="15"/>
  <c r="AI168" i="15" s="1"/>
  <c r="AH929" i="15" s="1"/>
  <c r="AG163" i="15"/>
  <c r="AG168" i="15" s="1"/>
  <c r="AF929" i="15" s="1"/>
  <c r="AE163" i="15"/>
  <c r="AE168" i="15" s="1"/>
  <c r="AD929" i="15" s="1"/>
  <c r="AC163" i="15"/>
  <c r="AC168" i="15" s="1"/>
  <c r="AB929" i="15" s="1"/>
  <c r="AA163" i="15"/>
  <c r="AA168" i="15" s="1"/>
  <c r="Z929" i="15" s="1"/>
  <c r="Y163" i="15"/>
  <c r="Y168" i="15" s="1"/>
  <c r="X929" i="15" s="1"/>
  <c r="W163" i="15"/>
  <c r="W168" i="15" s="1"/>
  <c r="V929" i="15" s="1"/>
  <c r="U163" i="15"/>
  <c r="U168" i="15" s="1"/>
  <c r="T929" i="15" s="1"/>
  <c r="S163" i="15"/>
  <c r="S168" i="15" s="1"/>
  <c r="R929" i="15" s="1"/>
  <c r="Q163" i="15"/>
  <c r="Q168" i="15" s="1"/>
  <c r="P929" i="15" s="1"/>
  <c r="O163" i="15"/>
  <c r="O168" i="15" s="1"/>
  <c r="N929" i="15" s="1"/>
  <c r="M163" i="15"/>
  <c r="M168" i="15" s="1"/>
  <c r="L929" i="15" s="1"/>
  <c r="K163" i="15"/>
  <c r="K168" i="15" s="1"/>
  <c r="J929" i="15" s="1"/>
  <c r="I163" i="15"/>
  <c r="I168" i="15" s="1"/>
  <c r="H929" i="15" s="1"/>
  <c r="G163" i="15"/>
  <c r="G168" i="15" s="1"/>
  <c r="F929" i="15" s="1"/>
  <c r="D163" i="15"/>
  <c r="D162" i="15"/>
  <c r="E151" i="15"/>
  <c r="AI149" i="15"/>
  <c r="AI153" i="15" s="1"/>
  <c r="AH926" i="15" s="1"/>
  <c r="AG149" i="15"/>
  <c r="AG153" i="15" s="1"/>
  <c r="AF926" i="15" s="1"/>
  <c r="AE149" i="15"/>
  <c r="AE153" i="15" s="1"/>
  <c r="AD926" i="15" s="1"/>
  <c r="AC149" i="15"/>
  <c r="AC153" i="15" s="1"/>
  <c r="AB926" i="15" s="1"/>
  <c r="AA149" i="15"/>
  <c r="AA153" i="15" s="1"/>
  <c r="Z926" i="15" s="1"/>
  <c r="Y149" i="15"/>
  <c r="Y153" i="15" s="1"/>
  <c r="X926" i="15" s="1"/>
  <c r="W149" i="15"/>
  <c r="W153" i="15" s="1"/>
  <c r="V926" i="15" s="1"/>
  <c r="U149" i="15"/>
  <c r="U153" i="15" s="1"/>
  <c r="T926" i="15" s="1"/>
  <c r="S149" i="15"/>
  <c r="S153" i="15" s="1"/>
  <c r="R926" i="15" s="1"/>
  <c r="Q149" i="15"/>
  <c r="Q153" i="15" s="1"/>
  <c r="P926" i="15" s="1"/>
  <c r="O149" i="15"/>
  <c r="O153" i="15" s="1"/>
  <c r="N926" i="15" s="1"/>
  <c r="M149" i="15"/>
  <c r="M153" i="15" s="1"/>
  <c r="L926" i="15" s="1"/>
  <c r="K149" i="15"/>
  <c r="K153" i="15" s="1"/>
  <c r="J926" i="15" s="1"/>
  <c r="I149" i="15"/>
  <c r="I153" i="15" s="1"/>
  <c r="H926" i="15" s="1"/>
  <c r="G149" i="15"/>
  <c r="G153" i="15" s="1"/>
  <c r="F926" i="15" s="1"/>
  <c r="D149" i="15"/>
  <c r="D148" i="15"/>
  <c r="D147" i="15"/>
  <c r="D146" i="15"/>
  <c r="D145" i="15"/>
  <c r="D144" i="15"/>
  <c r="AI133" i="15"/>
  <c r="AG133" i="15"/>
  <c r="AE133" i="15"/>
  <c r="AC133" i="15"/>
  <c r="AA133" i="15"/>
  <c r="Y133" i="15"/>
  <c r="W133" i="15"/>
  <c r="U133" i="15"/>
  <c r="S133" i="15"/>
  <c r="Q133" i="15"/>
  <c r="O133" i="15"/>
  <c r="M133" i="15"/>
  <c r="K133" i="15"/>
  <c r="I133" i="15"/>
  <c r="G133" i="15"/>
  <c r="D133" i="15"/>
  <c r="D132" i="15"/>
  <c r="E131" i="15"/>
  <c r="AI130" i="15"/>
  <c r="AG130" i="15"/>
  <c r="AE130" i="15"/>
  <c r="AC130" i="15"/>
  <c r="AA130" i="15"/>
  <c r="Y130" i="15"/>
  <c r="W130" i="15"/>
  <c r="U130" i="15"/>
  <c r="S130" i="15"/>
  <c r="Q130" i="15"/>
  <c r="O130" i="15"/>
  <c r="M130" i="15"/>
  <c r="K130" i="15"/>
  <c r="I130" i="15"/>
  <c r="G130" i="15"/>
  <c r="D130" i="15"/>
  <c r="D129" i="15"/>
  <c r="AH114" i="15"/>
  <c r="AF114" i="15"/>
  <c r="AD114" i="15"/>
  <c r="AB114" i="15"/>
  <c r="Z114" i="15"/>
  <c r="X114" i="15"/>
  <c r="V114" i="15"/>
  <c r="T114" i="15"/>
  <c r="R114" i="15"/>
  <c r="P114" i="15"/>
  <c r="N114" i="15"/>
  <c r="L114" i="15"/>
  <c r="J114" i="15"/>
  <c r="H114" i="15"/>
  <c r="F114" i="15"/>
  <c r="AH113" i="15"/>
  <c r="AF113" i="15"/>
  <c r="AD113" i="15"/>
  <c r="AB113" i="15"/>
  <c r="Z113" i="15"/>
  <c r="X113" i="15"/>
  <c r="V113" i="15"/>
  <c r="T113" i="15"/>
  <c r="R113" i="15"/>
  <c r="P113" i="15"/>
  <c r="N113" i="15"/>
  <c r="L113" i="15"/>
  <c r="J113" i="15"/>
  <c r="H113" i="15"/>
  <c r="F113" i="15"/>
  <c r="AI110" i="15"/>
  <c r="AG110" i="15"/>
  <c r="AE110" i="15"/>
  <c r="AC110" i="15"/>
  <c r="AA110" i="15"/>
  <c r="Y110" i="15"/>
  <c r="W110" i="15"/>
  <c r="U110" i="15"/>
  <c r="S110" i="15"/>
  <c r="Q110" i="15"/>
  <c r="O110" i="15"/>
  <c r="M110" i="15"/>
  <c r="K110" i="15"/>
  <c r="I110" i="15"/>
  <c r="G110" i="15"/>
  <c r="D110" i="15"/>
  <c r="D109" i="15"/>
  <c r="AI106" i="15"/>
  <c r="AG106" i="15"/>
  <c r="AE106" i="15"/>
  <c r="AC106" i="15"/>
  <c r="AA106" i="15"/>
  <c r="Y106" i="15"/>
  <c r="W106" i="15"/>
  <c r="U106" i="15"/>
  <c r="S106" i="15"/>
  <c r="Q106" i="15"/>
  <c r="O106" i="15"/>
  <c r="M106" i="15"/>
  <c r="K106" i="15"/>
  <c r="I106" i="15"/>
  <c r="G106" i="15"/>
  <c r="D106" i="15"/>
  <c r="D105" i="15"/>
  <c r="AI102" i="15"/>
  <c r="AG102" i="15"/>
  <c r="AE102" i="15"/>
  <c r="AC102" i="15"/>
  <c r="AA102" i="15"/>
  <c r="Y102" i="15"/>
  <c r="W102" i="15"/>
  <c r="U102" i="15"/>
  <c r="S102" i="15"/>
  <c r="Q102" i="15"/>
  <c r="O102" i="15"/>
  <c r="M102" i="15"/>
  <c r="K102" i="15"/>
  <c r="I102" i="15"/>
  <c r="G102" i="15"/>
  <c r="D102" i="15"/>
  <c r="D101" i="15"/>
  <c r="AI98" i="15"/>
  <c r="AG98" i="15"/>
  <c r="AE98" i="15"/>
  <c r="AC98" i="15"/>
  <c r="AA98" i="15"/>
  <c r="Y98" i="15"/>
  <c r="W98" i="15"/>
  <c r="U98" i="15"/>
  <c r="S98" i="15"/>
  <c r="Q98" i="15"/>
  <c r="O98" i="15"/>
  <c r="M98" i="15"/>
  <c r="K98" i="15"/>
  <c r="I98" i="15"/>
  <c r="G98" i="15"/>
  <c r="D98" i="15"/>
  <c r="D97" i="15"/>
  <c r="AI94" i="15"/>
  <c r="AG94" i="15"/>
  <c r="AE94" i="15"/>
  <c r="AC94" i="15"/>
  <c r="AA94" i="15"/>
  <c r="Y94" i="15"/>
  <c r="W94" i="15"/>
  <c r="U94" i="15"/>
  <c r="S94" i="15"/>
  <c r="Q94" i="15"/>
  <c r="O94" i="15"/>
  <c r="M94" i="15"/>
  <c r="K94" i="15"/>
  <c r="I94" i="15"/>
  <c r="G94" i="15"/>
  <c r="D94" i="15"/>
  <c r="D93" i="15"/>
  <c r="AI90" i="15"/>
  <c r="AG90" i="15"/>
  <c r="AE90" i="15"/>
  <c r="AC90" i="15"/>
  <c r="AA90" i="15"/>
  <c r="Y90" i="15"/>
  <c r="W90" i="15"/>
  <c r="U90" i="15"/>
  <c r="S90" i="15"/>
  <c r="Q90" i="15"/>
  <c r="O90" i="15"/>
  <c r="M90" i="15"/>
  <c r="K90" i="15"/>
  <c r="I90" i="15"/>
  <c r="G90" i="15"/>
  <c r="D90" i="15"/>
  <c r="D89" i="15"/>
  <c r="F70" i="15"/>
  <c r="G77" i="15" s="1"/>
  <c r="E64" i="15"/>
  <c r="F62" i="15"/>
  <c r="G64" i="15" s="1"/>
  <c r="D61" i="15"/>
  <c r="D62" i="15" s="1"/>
  <c r="F56" i="15"/>
  <c r="G58" i="15" s="1"/>
  <c r="D55" i="15"/>
  <c r="D56" i="15" s="1"/>
  <c r="E58" i="15" s="1"/>
  <c r="F50" i="15"/>
  <c r="G52" i="15" s="1"/>
  <c r="G46" i="15"/>
  <c r="E46" i="15"/>
  <c r="AH917" i="15" s="1"/>
  <c r="E16" i="15"/>
  <c r="F916" i="15" s="1"/>
  <c r="H1107" i="13"/>
  <c r="G1107" i="13"/>
  <c r="F1107" i="13"/>
  <c r="E1107" i="13"/>
  <c r="D1107" i="13"/>
  <c r="G1042" i="13"/>
  <c r="E1042" i="13"/>
  <c r="G1030" i="13"/>
  <c r="E1030" i="13"/>
  <c r="G1010" i="13"/>
  <c r="E1010" i="13"/>
  <c r="G992" i="13"/>
  <c r="E992" i="13"/>
  <c r="G971" i="13"/>
  <c r="E971" i="13"/>
  <c r="G966" i="13"/>
  <c r="E966" i="13"/>
  <c r="G954" i="13"/>
  <c r="E954" i="13"/>
  <c r="G920" i="13"/>
  <c r="E920" i="13"/>
  <c r="G907" i="13"/>
  <c r="E907" i="13"/>
  <c r="H905" i="13"/>
  <c r="H904" i="13"/>
  <c r="H903" i="13"/>
  <c r="H899" i="13"/>
  <c r="H898" i="13"/>
  <c r="H897" i="13"/>
  <c r="G885" i="13"/>
  <c r="E885" i="13"/>
  <c r="G873" i="13"/>
  <c r="G846" i="13" s="1"/>
  <c r="E873" i="13"/>
  <c r="H872" i="13"/>
  <c r="H871" i="13"/>
  <c r="H870" i="13"/>
  <c r="G865" i="13"/>
  <c r="E865" i="13"/>
  <c r="H862" i="13"/>
  <c r="E850" i="13"/>
  <c r="G845" i="13"/>
  <c r="G837" i="13"/>
  <c r="E837" i="13"/>
  <c r="H836" i="13"/>
  <c r="H835" i="13"/>
  <c r="G833" i="13"/>
  <c r="E833" i="13"/>
  <c r="G829" i="13"/>
  <c r="E829" i="13"/>
  <c r="G820" i="13"/>
  <c r="G814" i="13" s="1"/>
  <c r="E820" i="13"/>
  <c r="E814" i="13" s="1"/>
  <c r="G811" i="13"/>
  <c r="E811" i="13"/>
  <c r="G802" i="13"/>
  <c r="E802" i="13"/>
  <c r="G788" i="13"/>
  <c r="E788" i="13"/>
  <c r="G773" i="13"/>
  <c r="E773" i="13"/>
  <c r="H769" i="13"/>
  <c r="G764" i="13"/>
  <c r="E764" i="13"/>
  <c r="G749" i="13"/>
  <c r="E749" i="13"/>
  <c r="G746" i="13"/>
  <c r="G747" i="13" s="1"/>
  <c r="E746" i="13"/>
  <c r="E747" i="13" s="1"/>
  <c r="H740" i="13"/>
  <c r="F699" i="13"/>
  <c r="G700" i="13" s="1"/>
  <c r="G702" i="13" s="1"/>
  <c r="D699" i="13"/>
  <c r="E700" i="13" s="1"/>
  <c r="E702" i="13" s="1"/>
  <c r="F684" i="13"/>
  <c r="G685" i="13" s="1"/>
  <c r="D684" i="13"/>
  <c r="E685" i="13" s="1"/>
  <c r="F677" i="13"/>
  <c r="G678" i="13" s="1"/>
  <c r="D677" i="13"/>
  <c r="E678" i="13" s="1"/>
  <c r="G672" i="13"/>
  <c r="E672" i="13"/>
  <c r="E667" i="13"/>
  <c r="F666" i="13"/>
  <c r="G667" i="13" s="1"/>
  <c r="D666" i="13"/>
  <c r="G652" i="13"/>
  <c r="E652" i="13"/>
  <c r="G646" i="13"/>
  <c r="E646" i="13"/>
  <c r="F629" i="13"/>
  <c r="G630" i="13" s="1"/>
  <c r="D629" i="13"/>
  <c r="E630" i="13" s="1"/>
  <c r="F622" i="13"/>
  <c r="G623" i="13" s="1"/>
  <c r="D622" i="13"/>
  <c r="E623" i="13" s="1"/>
  <c r="G608" i="13"/>
  <c r="G592" i="13"/>
  <c r="G594" i="13" s="1"/>
  <c r="E592" i="13"/>
  <c r="E594" i="13" s="1"/>
  <c r="G572" i="13"/>
  <c r="E572" i="13"/>
  <c r="G564" i="13"/>
  <c r="E564" i="13"/>
  <c r="F546" i="13"/>
  <c r="G547" i="13" s="1"/>
  <c r="D546" i="13"/>
  <c r="E547" i="13" s="1"/>
  <c r="F540" i="13"/>
  <c r="G541" i="13" s="1"/>
  <c r="D540" i="13"/>
  <c r="E541" i="13" s="1"/>
  <c r="F524" i="13"/>
  <c r="G525" i="13" s="1"/>
  <c r="D524" i="13"/>
  <c r="E525" i="13" s="1"/>
  <c r="F511" i="13"/>
  <c r="G512" i="13" s="1"/>
  <c r="D511" i="13"/>
  <c r="E512" i="13" s="1"/>
  <c r="F504" i="13"/>
  <c r="G505" i="13" s="1"/>
  <c r="D504" i="13"/>
  <c r="E505" i="13" s="1"/>
  <c r="F497" i="13"/>
  <c r="G498" i="13" s="1"/>
  <c r="D497" i="13"/>
  <c r="E498" i="13" s="1"/>
  <c r="F488" i="13"/>
  <c r="E488" i="13"/>
  <c r="D488" i="13"/>
  <c r="G473" i="13"/>
  <c r="E473" i="13"/>
  <c r="F463" i="13"/>
  <c r="G465" i="13" s="1"/>
  <c r="D463" i="13"/>
  <c r="E465" i="13" s="1"/>
  <c r="G457" i="13"/>
  <c r="D445" i="13"/>
  <c r="E457" i="13" s="1"/>
  <c r="G440" i="13"/>
  <c r="E440" i="13"/>
  <c r="H416" i="13"/>
  <c r="G416" i="13"/>
  <c r="F416" i="13"/>
  <c r="E416" i="13"/>
  <c r="D416" i="13"/>
  <c r="I415" i="13"/>
  <c r="I414" i="13"/>
  <c r="E404" i="13"/>
  <c r="E402" i="13"/>
  <c r="E401" i="13"/>
  <c r="E400" i="13"/>
  <c r="G394" i="13"/>
  <c r="I394" i="13" s="1"/>
  <c r="G392" i="13"/>
  <c r="I392" i="13" s="1"/>
  <c r="G391" i="13"/>
  <c r="I391" i="13" s="1"/>
  <c r="G390" i="13"/>
  <c r="I390" i="13" s="1"/>
  <c r="H386" i="13"/>
  <c r="G385" i="13"/>
  <c r="F385" i="13"/>
  <c r="E385" i="13"/>
  <c r="D385" i="13"/>
  <c r="H383" i="13"/>
  <c r="H381" i="13"/>
  <c r="H380" i="13"/>
  <c r="H379" i="13"/>
  <c r="E370" i="13"/>
  <c r="E369" i="13"/>
  <c r="H364" i="13"/>
  <c r="F364" i="13"/>
  <c r="E364" i="13"/>
  <c r="D364" i="13"/>
  <c r="G363" i="13"/>
  <c r="I363" i="13" s="1"/>
  <c r="G362" i="13"/>
  <c r="H357" i="13"/>
  <c r="G357" i="13"/>
  <c r="F357" i="13"/>
  <c r="E357" i="13"/>
  <c r="D357" i="13"/>
  <c r="I356" i="13"/>
  <c r="I355" i="13"/>
  <c r="E337" i="13"/>
  <c r="E335" i="13"/>
  <c r="E333" i="13"/>
  <c r="E332" i="13"/>
  <c r="E328" i="13"/>
  <c r="E326" i="13"/>
  <c r="E324" i="13"/>
  <c r="E323" i="13"/>
  <c r="E320" i="13"/>
  <c r="E318" i="13"/>
  <c r="E317" i="13"/>
  <c r="E316" i="13"/>
  <c r="E315" i="13"/>
  <c r="E314" i="13"/>
  <c r="E313" i="13"/>
  <c r="E310" i="13"/>
  <c r="E309" i="13"/>
  <c r="E306" i="13"/>
  <c r="E305" i="13"/>
  <c r="H299" i="13"/>
  <c r="F299" i="13"/>
  <c r="E299" i="13"/>
  <c r="D299" i="13"/>
  <c r="G297" i="13"/>
  <c r="I297" i="13" s="1"/>
  <c r="G295" i="13"/>
  <c r="I295" i="13" s="1"/>
  <c r="G293" i="13"/>
  <c r="I293" i="13" s="1"/>
  <c r="G292" i="13"/>
  <c r="I292" i="13" s="1"/>
  <c r="G288" i="13"/>
  <c r="I288" i="13" s="1"/>
  <c r="G286" i="13"/>
  <c r="I286" i="13" s="1"/>
  <c r="G284" i="13"/>
  <c r="I284" i="13" s="1"/>
  <c r="G283" i="13"/>
  <c r="I283" i="13" s="1"/>
  <c r="G280" i="13"/>
  <c r="I280" i="13" s="1"/>
  <c r="G278" i="13"/>
  <c r="I278" i="13" s="1"/>
  <c r="G277" i="13"/>
  <c r="I277" i="13" s="1"/>
  <c r="G276" i="13"/>
  <c r="I276" i="13" s="1"/>
  <c r="G275" i="13"/>
  <c r="I275" i="13" s="1"/>
  <c r="G274" i="13"/>
  <c r="I274" i="13" s="1"/>
  <c r="G273" i="13"/>
  <c r="I273" i="13" s="1"/>
  <c r="G270" i="13"/>
  <c r="I270" i="13" s="1"/>
  <c r="G269" i="13"/>
  <c r="I269" i="13" s="1"/>
  <c r="G266" i="13"/>
  <c r="I266" i="13" s="1"/>
  <c r="G265" i="13"/>
  <c r="H259" i="13"/>
  <c r="G258" i="13"/>
  <c r="F258" i="13"/>
  <c r="E258" i="13"/>
  <c r="D258" i="13"/>
  <c r="H256" i="13"/>
  <c r="H254" i="13"/>
  <c r="H252" i="13"/>
  <c r="H251" i="13"/>
  <c r="H247" i="13"/>
  <c r="H245" i="13"/>
  <c r="H243" i="13"/>
  <c r="H242" i="13"/>
  <c r="H239" i="13"/>
  <c r="H237" i="13"/>
  <c r="H236" i="13"/>
  <c r="H235" i="13"/>
  <c r="H234" i="13"/>
  <c r="H233" i="13"/>
  <c r="H232" i="13"/>
  <c r="H229" i="13"/>
  <c r="H228" i="13"/>
  <c r="H225" i="13"/>
  <c r="H224" i="13"/>
  <c r="H223" i="13"/>
  <c r="G212" i="13"/>
  <c r="E212" i="13"/>
  <c r="G205" i="13"/>
  <c r="E205" i="13"/>
  <c r="G187" i="13"/>
  <c r="E187" i="13"/>
  <c r="G184" i="13"/>
  <c r="E184" i="13"/>
  <c r="G155" i="13"/>
  <c r="G158" i="13" s="1"/>
  <c r="E155" i="13"/>
  <c r="E158" i="13" s="1"/>
  <c r="G139" i="13"/>
  <c r="G144" i="13" s="1"/>
  <c r="E139" i="13"/>
  <c r="E144" i="13" s="1"/>
  <c r="G125" i="13"/>
  <c r="G129" i="13" s="1"/>
  <c r="E125" i="13"/>
  <c r="E129" i="13" s="1"/>
  <c r="G110" i="13"/>
  <c r="E110" i="13"/>
  <c r="G107" i="13"/>
  <c r="E107" i="13"/>
  <c r="G91" i="13"/>
  <c r="G92" i="13" s="1"/>
  <c r="D91" i="13"/>
  <c r="D90" i="13"/>
  <c r="G87" i="13"/>
  <c r="E87" i="13"/>
  <c r="G83" i="13"/>
  <c r="E83" i="13"/>
  <c r="G79" i="13"/>
  <c r="E79" i="13"/>
  <c r="G75" i="13"/>
  <c r="E75" i="13"/>
  <c r="G71" i="13"/>
  <c r="E71" i="13"/>
  <c r="G67" i="13"/>
  <c r="E67" i="13"/>
  <c r="H56" i="13"/>
  <c r="G56" i="13"/>
  <c r="F56" i="13"/>
  <c r="E56" i="13"/>
  <c r="D56" i="13"/>
  <c r="I54" i="13"/>
  <c r="F49" i="13"/>
  <c r="D49" i="13"/>
  <c r="E47" i="13"/>
  <c r="G47" i="13" s="1"/>
  <c r="G46" i="13"/>
  <c r="G16" i="13"/>
  <c r="E12" i="13" s="1"/>
  <c r="G12" i="5" s="1"/>
  <c r="E12" i="5" s="1"/>
  <c r="E16" i="5" s="1"/>
  <c r="D9" i="4" s="1"/>
  <c r="E9" i="13"/>
  <c r="G9" i="5" s="1"/>
  <c r="E9" i="5" s="1"/>
  <c r="E689" i="13" l="1"/>
  <c r="E98" i="15"/>
  <c r="U123" i="7"/>
  <c r="U124" i="7" s="1"/>
  <c r="T938" i="7" s="1"/>
  <c r="AC123" i="7"/>
  <c r="AC124" i="7" s="1"/>
  <c r="AB938" i="7" s="1"/>
  <c r="K358" i="7"/>
  <c r="Y374" i="7"/>
  <c r="AG374" i="7"/>
  <c r="E41" i="8"/>
  <c r="C44" i="8"/>
  <c r="E599" i="8"/>
  <c r="D17" i="28"/>
  <c r="D49" i="28"/>
  <c r="D41" i="28"/>
  <c r="F41" i="28" s="1"/>
  <c r="E53" i="28"/>
  <c r="D58" i="28"/>
  <c r="E24" i="28"/>
  <c r="D32" i="28"/>
  <c r="D61" i="28"/>
  <c r="F61" i="28" s="1"/>
  <c r="E58" i="28"/>
  <c r="D20" i="28"/>
  <c r="F20" i="28" s="1"/>
  <c r="E27" i="28"/>
  <c r="E51" i="28"/>
  <c r="E49" i="28"/>
  <c r="F33" i="28"/>
  <c r="F62" i="7"/>
  <c r="Q16" i="30"/>
  <c r="D537" i="8"/>
  <c r="D542" i="8" s="1"/>
  <c r="E741" i="8"/>
  <c r="D311" i="8"/>
  <c r="D322" i="8"/>
  <c r="AA114" i="15"/>
  <c r="AA115" i="15" s="1"/>
  <c r="Z923" i="15" s="1"/>
  <c r="AA495" i="15"/>
  <c r="K808" i="15"/>
  <c r="F80" i="31"/>
  <c r="F82" i="31" s="1"/>
  <c r="E82" i="31"/>
  <c r="E10" i="28" s="1"/>
  <c r="E42" i="8"/>
  <c r="Z123" i="23"/>
  <c r="AE343" i="15"/>
  <c r="K567" i="15"/>
  <c r="J963" i="15" s="1"/>
  <c r="S567" i="15"/>
  <c r="R963" i="15" s="1"/>
  <c r="AA567" i="15"/>
  <c r="Z963" i="15" s="1"/>
  <c r="AG563" i="15"/>
  <c r="AG564" i="15" s="1"/>
  <c r="E583" i="15"/>
  <c r="Q336" i="7"/>
  <c r="S135" i="15"/>
  <c r="R925" i="15" s="1"/>
  <c r="AI135" i="15"/>
  <c r="AH925" i="15" s="1"/>
  <c r="I359" i="15"/>
  <c r="AG592" i="15"/>
  <c r="AF964" i="15" s="1"/>
  <c r="U220" i="7"/>
  <c r="U223" i="7" s="1"/>
  <c r="T946" i="7" s="1"/>
  <c r="U358" i="7"/>
  <c r="Y382" i="7"/>
  <c r="X960" i="7" s="1"/>
  <c r="AE456" i="7"/>
  <c r="AE465" i="7" s="1"/>
  <c r="AD965" i="7" s="1"/>
  <c r="O773" i="7"/>
  <c r="N989" i="7" s="1"/>
  <c r="K823" i="7"/>
  <c r="J766" i="7" s="1"/>
  <c r="S823" i="7"/>
  <c r="R766" i="7" s="1"/>
  <c r="AA823" i="7"/>
  <c r="Z766" i="7" s="1"/>
  <c r="AA771" i="7" s="1"/>
  <c r="AA773" i="7" s="1"/>
  <c r="Z989" i="7" s="1"/>
  <c r="AI823" i="7"/>
  <c r="G823" i="7"/>
  <c r="F766" i="7" s="1"/>
  <c r="O823" i="7"/>
  <c r="W823" i="7"/>
  <c r="AE823" i="7"/>
  <c r="AD766" i="7" s="1"/>
  <c r="AE771" i="7" s="1"/>
  <c r="K135" i="15"/>
  <c r="J925" i="15" s="1"/>
  <c r="AA135" i="15"/>
  <c r="Z925" i="15" s="1"/>
  <c r="D114" i="15"/>
  <c r="E94" i="15"/>
  <c r="AC114" i="15"/>
  <c r="AC115" i="15" s="1"/>
  <c r="AB923" i="15" s="1"/>
  <c r="AC450" i="15"/>
  <c r="AB950" i="15" s="1"/>
  <c r="AE655" i="15"/>
  <c r="AE358" i="7"/>
  <c r="S652" i="7"/>
  <c r="R984" i="7" s="1"/>
  <c r="S63" i="23"/>
  <c r="E549" i="13"/>
  <c r="E632" i="13"/>
  <c r="E922" i="13"/>
  <c r="E163" i="15"/>
  <c r="E168" i="15" s="1"/>
  <c r="S441" i="15"/>
  <c r="S450" i="15" s="1"/>
  <c r="R950" i="15" s="1"/>
  <c r="D441" i="15"/>
  <c r="M657" i="15"/>
  <c r="L970" i="15" s="1"/>
  <c r="G683" i="15"/>
  <c r="F971" i="15" s="1"/>
  <c r="O683" i="15"/>
  <c r="N971" i="15" s="1"/>
  <c r="G500" i="7"/>
  <c r="E108" i="23"/>
  <c r="F108" i="23" s="1"/>
  <c r="H108" i="23" s="1"/>
  <c r="D335" i="13"/>
  <c r="I114" i="15"/>
  <c r="I115" i="15" s="1"/>
  <c r="H923" i="15" s="1"/>
  <c r="Q114" i="15"/>
  <c r="Q115" i="15" s="1"/>
  <c r="P923" i="15" s="1"/>
  <c r="Y114" i="15"/>
  <c r="Y115" i="15" s="1"/>
  <c r="X923" i="15" s="1"/>
  <c r="AG114" i="15"/>
  <c r="AG115" i="15" s="1"/>
  <c r="AF923" i="15" s="1"/>
  <c r="M450" i="15"/>
  <c r="L950" i="15" s="1"/>
  <c r="U441" i="15"/>
  <c r="U450" i="15" s="1"/>
  <c r="T950" i="15" s="1"/>
  <c r="Q441" i="15"/>
  <c r="Q450" i="15" s="1"/>
  <c r="P950" i="15" s="1"/>
  <c r="M448" i="15"/>
  <c r="M472" i="15"/>
  <c r="L951" i="15" s="1"/>
  <c r="AC472" i="15"/>
  <c r="AB951" i="15" s="1"/>
  <c r="Y567" i="15"/>
  <c r="X963" i="15" s="1"/>
  <c r="K592" i="15"/>
  <c r="J964" i="15" s="1"/>
  <c r="S592" i="15"/>
  <c r="R964" i="15" s="1"/>
  <c r="AA592" i="15"/>
  <c r="Z964" i="15" s="1"/>
  <c r="AA964" i="15" s="1"/>
  <c r="AA965" i="15" s="1"/>
  <c r="M592" i="15"/>
  <c r="L964" i="15" s="1"/>
  <c r="U592" i="15"/>
  <c r="T964" i="15" s="1"/>
  <c r="AC683" i="15"/>
  <c r="AB971" i="15" s="1"/>
  <c r="Q358" i="7"/>
  <c r="M59" i="24"/>
  <c r="E98" i="23"/>
  <c r="E130" i="15"/>
  <c r="K964" i="15"/>
  <c r="K965" i="15" s="1"/>
  <c r="AG567" i="15"/>
  <c r="AF963" i="15" s="1"/>
  <c r="O808" i="15"/>
  <c r="AE808" i="15"/>
  <c r="AD752" i="15" s="1"/>
  <c r="AE756" i="15" s="1"/>
  <c r="Q918" i="15"/>
  <c r="Y918" i="15"/>
  <c r="M144" i="7"/>
  <c r="L940" i="7" s="1"/>
  <c r="U144" i="7"/>
  <c r="T940" i="7" s="1"/>
  <c r="U941" i="7" s="1"/>
  <c r="AC144" i="7"/>
  <c r="AB940" i="7" s="1"/>
  <c r="Q144" i="7"/>
  <c r="P940" i="7" s="1"/>
  <c r="Y144" i="7"/>
  <c r="X940" i="7" s="1"/>
  <c r="D155" i="7"/>
  <c r="D155" i="5" s="1"/>
  <c r="E153" i="5" s="1"/>
  <c r="E163" i="5" s="1"/>
  <c r="D19" i="4" s="1"/>
  <c r="U456" i="7"/>
  <c r="AG463" i="7"/>
  <c r="CB80" i="23"/>
  <c r="CB81" i="23" s="1"/>
  <c r="B13" i="27"/>
  <c r="E74" i="8"/>
  <c r="D76" i="8"/>
  <c r="G299" i="13"/>
  <c r="U114" i="15"/>
  <c r="U115" i="15" s="1"/>
  <c r="T923" i="15" s="1"/>
  <c r="E139" i="7"/>
  <c r="E269" i="7"/>
  <c r="E278" i="7"/>
  <c r="W358" i="7"/>
  <c r="J509" i="7"/>
  <c r="K510" i="7" s="1"/>
  <c r="Q607" i="7"/>
  <c r="P979" i="7" s="1"/>
  <c r="Q979" i="7" s="1"/>
  <c r="Q980" i="7" s="1"/>
  <c r="AI652" i="7"/>
  <c r="AH984" i="7" s="1"/>
  <c r="Y698" i="7"/>
  <c r="X986" i="7" s="1"/>
  <c r="BH80" i="23"/>
  <c r="F123" i="23"/>
  <c r="I416" i="13"/>
  <c r="G922" i="13"/>
  <c r="G323" i="15"/>
  <c r="G330" i="15"/>
  <c r="AA343" i="15"/>
  <c r="AA346" i="15" s="1"/>
  <c r="Z944" i="15" s="1"/>
  <c r="K359" i="15"/>
  <c r="AA359" i="15"/>
  <c r="O367" i="15"/>
  <c r="N945" i="15" s="1"/>
  <c r="G448" i="15"/>
  <c r="G450" i="15" s="1"/>
  <c r="F950" i="15" s="1"/>
  <c r="G502" i="15"/>
  <c r="O502" i="15"/>
  <c r="O506" i="15" s="1"/>
  <c r="N952" i="15" s="1"/>
  <c r="AE502" i="15"/>
  <c r="AE506" i="15" s="1"/>
  <c r="AD952" i="15" s="1"/>
  <c r="K502" i="15"/>
  <c r="S627" i="15"/>
  <c r="AG637" i="15"/>
  <c r="AF969" i="15" s="1"/>
  <c r="G657" i="15"/>
  <c r="F970" i="15" s="1"/>
  <c r="O657" i="15"/>
  <c r="N970" i="15" s="1"/>
  <c r="U683" i="15"/>
  <c r="T971" i="15" s="1"/>
  <c r="AC250" i="7"/>
  <c r="AB947" i="7" s="1"/>
  <c r="AC947" i="7" s="1"/>
  <c r="K374" i="7"/>
  <c r="K382" i="7" s="1"/>
  <c r="J960" i="7" s="1"/>
  <c r="S374" i="7"/>
  <c r="S382" i="7" s="1"/>
  <c r="R960" i="7" s="1"/>
  <c r="Q456" i="7"/>
  <c r="Y456" i="7"/>
  <c r="Y465" i="7" s="1"/>
  <c r="X965" i="7" s="1"/>
  <c r="M463" i="7"/>
  <c r="M465" i="7" s="1"/>
  <c r="L965" i="7" s="1"/>
  <c r="AA487" i="7"/>
  <c r="Z966" i="7" s="1"/>
  <c r="AA517" i="7"/>
  <c r="F69" i="5"/>
  <c r="G71" i="5" s="1"/>
  <c r="F42" i="23"/>
  <c r="H42" i="23" s="1"/>
  <c r="F47" i="23"/>
  <c r="H47" i="23" s="1"/>
  <c r="F57" i="23"/>
  <c r="D80" i="23"/>
  <c r="R80" i="23"/>
  <c r="F106" i="23"/>
  <c r="AI343" i="15"/>
  <c r="U502" i="15"/>
  <c r="E273" i="7"/>
  <c r="E285" i="5"/>
  <c r="AE336" i="7"/>
  <c r="G111" i="13"/>
  <c r="H155" i="13" s="1"/>
  <c r="E475" i="13"/>
  <c r="E227" i="15"/>
  <c r="E287" i="15"/>
  <c r="AC359" i="15"/>
  <c r="AC367" i="15" s="1"/>
  <c r="AB945" i="15" s="1"/>
  <c r="AG502" i="15"/>
  <c r="AG506" i="15" s="1"/>
  <c r="AF952" i="15" s="1"/>
  <c r="M683" i="15"/>
  <c r="L971" i="15" s="1"/>
  <c r="Y808" i="15"/>
  <c r="X752" i="15" s="1"/>
  <c r="O918" i="15"/>
  <c r="W918" i="15"/>
  <c r="AE918" i="15"/>
  <c r="K918" i="15"/>
  <c r="E274" i="5"/>
  <c r="G672" i="7"/>
  <c r="F985" i="7" s="1"/>
  <c r="W698" i="7"/>
  <c r="V986" i="7" s="1"/>
  <c r="AE698" i="7"/>
  <c r="AD986" i="7" s="1"/>
  <c r="Y933" i="7"/>
  <c r="F43" i="23"/>
  <c r="H43" i="23" s="1"/>
  <c r="F55" i="23"/>
  <c r="H55" i="23" s="1"/>
  <c r="BV123" i="23"/>
  <c r="G659" i="5"/>
  <c r="F79" i="5"/>
  <c r="G87" i="5" s="1"/>
  <c r="F517" i="5"/>
  <c r="G518" i="5" s="1"/>
  <c r="F51" i="5"/>
  <c r="G173" i="5"/>
  <c r="G178" i="5" s="1"/>
  <c r="F22" i="4" s="1"/>
  <c r="G82" i="4"/>
  <c r="G47" i="5"/>
  <c r="F63" i="5"/>
  <c r="G65" i="5" s="1"/>
  <c r="F510" i="5"/>
  <c r="G511" i="5" s="1"/>
  <c r="U932" i="15"/>
  <c r="G343" i="15"/>
  <c r="E410" i="15"/>
  <c r="E412" i="15" s="1"/>
  <c r="K441" i="15"/>
  <c r="K450" i="15" s="1"/>
  <c r="J950" i="15" s="1"/>
  <c r="AE450" i="15"/>
  <c r="AD950" i="15" s="1"/>
  <c r="E470" i="15"/>
  <c r="M506" i="15"/>
  <c r="L952" i="15" s="1"/>
  <c r="K495" i="15"/>
  <c r="D501" i="15"/>
  <c r="D516" i="15"/>
  <c r="E517" i="15" s="1"/>
  <c r="E519" i="15" s="1"/>
  <c r="O567" i="15"/>
  <c r="N963" i="15" s="1"/>
  <c r="AE567" i="15"/>
  <c r="AD963" i="15" s="1"/>
  <c r="E627" i="15"/>
  <c r="E647" i="15"/>
  <c r="D756" i="15"/>
  <c r="K756" i="15"/>
  <c r="K758" i="15" s="1"/>
  <c r="J974" i="15" s="1"/>
  <c r="E796" i="15"/>
  <c r="E802" i="15" s="1"/>
  <c r="I808" i="15"/>
  <c r="H752" i="15" s="1"/>
  <c r="I756" i="15" s="1"/>
  <c r="I758" i="15" s="1"/>
  <c r="H974" i="15" s="1"/>
  <c r="I123" i="7"/>
  <c r="I124" i="7" s="1"/>
  <c r="H938" i="7" s="1"/>
  <c r="Q123" i="7"/>
  <c r="Q124" i="7" s="1"/>
  <c r="P938" i="7" s="1"/>
  <c r="Y123" i="7"/>
  <c r="Y124" i="7" s="1"/>
  <c r="X938" i="7" s="1"/>
  <c r="AG123" i="7"/>
  <c r="AG124" i="7" s="1"/>
  <c r="AF938" i="7" s="1"/>
  <c r="AI382" i="7"/>
  <c r="AH960" i="7" s="1"/>
  <c r="U510" i="7"/>
  <c r="W510" i="7"/>
  <c r="AA607" i="7"/>
  <c r="Z979" i="7" s="1"/>
  <c r="AA979" i="7" s="1"/>
  <c r="AA980" i="7" s="1"/>
  <c r="AI607" i="7"/>
  <c r="AH979" i="7" s="1"/>
  <c r="F675" i="7"/>
  <c r="G427" i="7"/>
  <c r="F964" i="7" s="1"/>
  <c r="I265" i="13"/>
  <c r="I299" i="13" s="1"/>
  <c r="D315" i="13"/>
  <c r="D337" i="13"/>
  <c r="D306" i="13"/>
  <c r="G632" i="13"/>
  <c r="M808" i="15"/>
  <c r="L752" i="15" s="1"/>
  <c r="M756" i="15" s="1"/>
  <c r="M758" i="15" s="1"/>
  <c r="L974" i="15" s="1"/>
  <c r="U808" i="15"/>
  <c r="E807" i="15"/>
  <c r="Q808" i="15"/>
  <c r="P752" i="15" s="1"/>
  <c r="AG808" i="15"/>
  <c r="AF752" i="15" s="1"/>
  <c r="D897" i="15"/>
  <c r="I918" i="15"/>
  <c r="AG918" i="15"/>
  <c r="G123" i="4"/>
  <c r="G125" i="4" s="1"/>
  <c r="G148" i="4" s="1"/>
  <c r="G463" i="7"/>
  <c r="G465" i="7" s="1"/>
  <c r="F965" i="7" s="1"/>
  <c r="W521" i="7"/>
  <c r="V967" i="7" s="1"/>
  <c r="Q933" i="7"/>
  <c r="D318" i="13"/>
  <c r="K114" i="15"/>
  <c r="K115" i="15" s="1"/>
  <c r="J923" i="15" s="1"/>
  <c r="K926" i="15" s="1"/>
  <c r="D309" i="13"/>
  <c r="D320" i="13"/>
  <c r="D328" i="13"/>
  <c r="G528" i="13"/>
  <c r="G574" i="13"/>
  <c r="G751" i="13"/>
  <c r="H752" i="13" s="1"/>
  <c r="E839" i="13"/>
  <c r="M114" i="15"/>
  <c r="M115" i="15" s="1"/>
  <c r="L923" i="15" s="1"/>
  <c r="M135" i="15"/>
  <c r="L925" i="15" s="1"/>
  <c r="U135" i="15"/>
  <c r="T925" i="15" s="1"/>
  <c r="AC135" i="15"/>
  <c r="AB925" i="15" s="1"/>
  <c r="D343" i="15"/>
  <c r="M359" i="15"/>
  <c r="M367" i="15" s="1"/>
  <c r="L945" i="15" s="1"/>
  <c r="Y441" i="15"/>
  <c r="AA502" i="15"/>
  <c r="S637" i="15"/>
  <c r="R969" i="15" s="1"/>
  <c r="AC808" i="15"/>
  <c r="AB752" i="15" s="1"/>
  <c r="AC756" i="15" s="1"/>
  <c r="AC758" i="15" s="1"/>
  <c r="AB974" i="15" s="1"/>
  <c r="D316" i="13"/>
  <c r="D332" i="13"/>
  <c r="E339" i="13"/>
  <c r="D340" i="13" s="1"/>
  <c r="E371" i="13"/>
  <c r="D402" i="13"/>
  <c r="D916" i="15"/>
  <c r="G114" i="15"/>
  <c r="G115" i="15" s="1"/>
  <c r="F923" i="15" s="1"/>
  <c r="O114" i="15"/>
  <c r="O115" i="15" s="1"/>
  <c r="N923" i="15" s="1"/>
  <c r="AE114" i="15"/>
  <c r="AE115" i="15" s="1"/>
  <c r="AD923" i="15" s="1"/>
  <c r="E133" i="15"/>
  <c r="E255" i="15"/>
  <c r="G278" i="15"/>
  <c r="G289" i="15" s="1"/>
  <c r="F942" i="15" s="1"/>
  <c r="D322" i="15"/>
  <c r="E323" i="15" s="1"/>
  <c r="AC323" i="15"/>
  <c r="G359" i="15"/>
  <c r="G367" i="15" s="1"/>
  <c r="F945" i="15" s="1"/>
  <c r="W359" i="15"/>
  <c r="W367" i="15" s="1"/>
  <c r="V945" i="15" s="1"/>
  <c r="AI450" i="15"/>
  <c r="AH950" i="15" s="1"/>
  <c r="D447" i="15"/>
  <c r="I448" i="15"/>
  <c r="I450" i="15" s="1"/>
  <c r="H950" i="15" s="1"/>
  <c r="AG448" i="15"/>
  <c r="I472" i="15"/>
  <c r="H951" i="15" s="1"/>
  <c r="Q472" i="15"/>
  <c r="P951" i="15" s="1"/>
  <c r="Y472" i="15"/>
  <c r="X951" i="15" s="1"/>
  <c r="AG472" i="15"/>
  <c r="AF951" i="15" s="1"/>
  <c r="D491" i="15"/>
  <c r="Y495" i="15"/>
  <c r="I567" i="15"/>
  <c r="H963" i="15" s="1"/>
  <c r="Q567" i="15"/>
  <c r="P963" i="15" s="1"/>
  <c r="Y592" i="15"/>
  <c r="X964" i="15" s="1"/>
  <c r="M637" i="15"/>
  <c r="L969" i="15" s="1"/>
  <c r="U637" i="15"/>
  <c r="T969" i="15" s="1"/>
  <c r="D630" i="15"/>
  <c r="E636" i="15" s="1"/>
  <c r="W683" i="15"/>
  <c r="V971" i="15" s="1"/>
  <c r="AE683" i="15"/>
  <c r="AD971" i="15" s="1"/>
  <c r="O758" i="15"/>
  <c r="N974" i="15" s="1"/>
  <c r="E884" i="15"/>
  <c r="AA918" i="15"/>
  <c r="F56" i="7"/>
  <c r="E99" i="7"/>
  <c r="AC358" i="7"/>
  <c r="I487" i="7"/>
  <c r="H966" i="7" s="1"/>
  <c r="D499" i="5"/>
  <c r="E500" i="5" s="1"/>
  <c r="I521" i="7"/>
  <c r="H967" i="7" s="1"/>
  <c r="O510" i="7"/>
  <c r="I652" i="7"/>
  <c r="H984" i="7" s="1"/>
  <c r="Q652" i="7"/>
  <c r="P984" i="7" s="1"/>
  <c r="D645" i="7"/>
  <c r="D614" i="5" s="1"/>
  <c r="E620" i="5" s="1"/>
  <c r="D635" i="5"/>
  <c r="E637" i="5" s="1"/>
  <c r="E670" i="7"/>
  <c r="CB63" i="23"/>
  <c r="S698" i="7"/>
  <c r="R986" i="7" s="1"/>
  <c r="AA698" i="7"/>
  <c r="Z986" i="7" s="1"/>
  <c r="AI698" i="7"/>
  <c r="AH986" i="7" s="1"/>
  <c r="G8" i="23"/>
  <c r="G21" i="23"/>
  <c r="F98" i="23"/>
  <c r="G91" i="23"/>
  <c r="D98" i="23"/>
  <c r="G95" i="23"/>
  <c r="F107" i="23"/>
  <c r="C123" i="23"/>
  <c r="N123" i="23"/>
  <c r="AL123" i="23"/>
  <c r="BJ123" i="23"/>
  <c r="CH123" i="23"/>
  <c r="H122" i="23"/>
  <c r="G687" i="7"/>
  <c r="G698" i="7" s="1"/>
  <c r="F986" i="7" s="1"/>
  <c r="U698" i="7"/>
  <c r="T986" i="7" s="1"/>
  <c r="AC698" i="7"/>
  <c r="AB986" i="7" s="1"/>
  <c r="M823" i="7"/>
  <c r="L766" i="7" s="1"/>
  <c r="M771" i="7" s="1"/>
  <c r="M773" i="7" s="1"/>
  <c r="L989" i="7" s="1"/>
  <c r="U823" i="7"/>
  <c r="T766" i="7" s="1"/>
  <c r="AC823" i="7"/>
  <c r="I823" i="7"/>
  <c r="H766" i="7" s="1"/>
  <c r="Q823" i="7"/>
  <c r="P766" i="7" s="1"/>
  <c r="Q771" i="7" s="1"/>
  <c r="Q773" i="7" s="1"/>
  <c r="P989" i="7" s="1"/>
  <c r="Y823" i="7"/>
  <c r="X766" i="7" s="1"/>
  <c r="Y771" i="7" s="1"/>
  <c r="Y773" i="7" s="1"/>
  <c r="X989" i="7" s="1"/>
  <c r="AG823" i="7"/>
  <c r="AF766" i="7" s="1"/>
  <c r="E860" i="5"/>
  <c r="I933" i="7"/>
  <c r="AG933" i="7"/>
  <c r="F57" i="5"/>
  <c r="G59" i="5" s="1"/>
  <c r="G405" i="5"/>
  <c r="G485" i="5"/>
  <c r="G637" i="5"/>
  <c r="G679" i="5"/>
  <c r="F68" i="4" s="1"/>
  <c r="G810" i="5"/>
  <c r="G74" i="4" s="1"/>
  <c r="N59" i="24"/>
  <c r="M60" i="24" s="1"/>
  <c r="AK31" i="23"/>
  <c r="AW31" i="23"/>
  <c r="BC31" i="23"/>
  <c r="CA31" i="23"/>
  <c r="CB66" i="23" s="1"/>
  <c r="CG31" i="23"/>
  <c r="CM31" i="23"/>
  <c r="F51" i="23"/>
  <c r="F59" i="23"/>
  <c r="H59" i="23" s="1"/>
  <c r="AF80" i="23"/>
  <c r="AF81" i="23" s="1"/>
  <c r="AV111" i="23"/>
  <c r="BV107" i="23"/>
  <c r="G107" i="23" s="1"/>
  <c r="CR111" i="23"/>
  <c r="S123" i="7"/>
  <c r="S124" i="7" s="1"/>
  <c r="R938" i="7" s="1"/>
  <c r="AA123" i="7"/>
  <c r="AA124" i="7" s="1"/>
  <c r="Z938" i="7" s="1"/>
  <c r="AI123" i="7"/>
  <c r="AI124" i="7" s="1"/>
  <c r="AH938" i="7" s="1"/>
  <c r="I220" i="7"/>
  <c r="I223" i="7" s="1"/>
  <c r="H946" i="7" s="1"/>
  <c r="M250" i="7"/>
  <c r="L947" i="7" s="1"/>
  <c r="M947" i="7" s="1"/>
  <c r="M374" i="7"/>
  <c r="M382" i="7" s="1"/>
  <c r="L960" i="7" s="1"/>
  <c r="U374" i="7"/>
  <c r="U382" i="7" s="1"/>
  <c r="T960" i="7" s="1"/>
  <c r="AC374" i="7"/>
  <c r="AC382" i="7" s="1"/>
  <c r="AB960" i="7" s="1"/>
  <c r="AG380" i="7"/>
  <c r="AG382" i="7" s="1"/>
  <c r="AF960" i="7" s="1"/>
  <c r="AC465" i="7"/>
  <c r="AB965" i="7" s="1"/>
  <c r="S487" i="7"/>
  <c r="R966" i="7" s="1"/>
  <c r="G517" i="7"/>
  <c r="O517" i="7"/>
  <c r="G607" i="7"/>
  <c r="F979" i="7" s="1"/>
  <c r="AC773" i="7"/>
  <c r="AB989" i="7" s="1"/>
  <c r="G142" i="5"/>
  <c r="G425" i="5"/>
  <c r="G427" i="5" s="1"/>
  <c r="F42" i="4" s="1"/>
  <c r="F462" i="5"/>
  <c r="G463" i="5" s="1"/>
  <c r="F532" i="5"/>
  <c r="G533" i="5" s="1"/>
  <c r="G535" i="5" s="1"/>
  <c r="F46" i="4" s="1"/>
  <c r="G573" i="5"/>
  <c r="G611" i="5"/>
  <c r="D31" i="23"/>
  <c r="F49" i="23"/>
  <c r="H49" i="23" s="1"/>
  <c r="AZ63" i="23"/>
  <c r="AZ66" i="23" s="1"/>
  <c r="AX104" i="23"/>
  <c r="AX111" i="23" s="1"/>
  <c r="D111" i="23"/>
  <c r="BV106" i="23"/>
  <c r="G106" i="23" s="1"/>
  <c r="CT108" i="23"/>
  <c r="E123" i="23"/>
  <c r="AG932" i="15"/>
  <c r="AG790" i="15"/>
  <c r="AF739" i="15" s="1"/>
  <c r="D739" i="15" s="1"/>
  <c r="E784" i="15"/>
  <c r="E790" i="15" s="1"/>
  <c r="F868" i="5"/>
  <c r="F873" i="5" s="1"/>
  <c r="R56" i="23"/>
  <c r="T56" i="23" s="1"/>
  <c r="T63" i="23" s="1"/>
  <c r="O63" i="23"/>
  <c r="BF63" i="23"/>
  <c r="BF66" i="23" s="1"/>
  <c r="BH56" i="23"/>
  <c r="BJ56" i="23" s="1"/>
  <c r="D106" i="5"/>
  <c r="E107" i="5" s="1"/>
  <c r="E107" i="7"/>
  <c r="AD536" i="7"/>
  <c r="D219" i="7"/>
  <c r="D219" i="5" s="1"/>
  <c r="L675" i="7"/>
  <c r="M427" i="7"/>
  <c r="L964" i="7" s="1"/>
  <c r="AA427" i="7"/>
  <c r="Z964" i="7" s="1"/>
  <c r="Z675" i="7"/>
  <c r="K346" i="15"/>
  <c r="J944" i="15" s="1"/>
  <c r="AI346" i="15"/>
  <c r="AH944" i="15" s="1"/>
  <c r="Q521" i="7"/>
  <c r="P967" i="7" s="1"/>
  <c r="E135" i="15"/>
  <c r="U926" i="15"/>
  <c r="W135" i="15"/>
  <c r="V925" i="15" s="1"/>
  <c r="W208" i="15"/>
  <c r="W211" i="15" s="1"/>
  <c r="V931" i="15" s="1"/>
  <c r="W932" i="15" s="1"/>
  <c r="AC932" i="15"/>
  <c r="D448" i="15"/>
  <c r="E448" i="15" s="1"/>
  <c r="I592" i="15"/>
  <c r="H964" i="15" s="1"/>
  <c r="E672" i="15"/>
  <c r="E248" i="5"/>
  <c r="O407" i="7"/>
  <c r="N963" i="7" s="1"/>
  <c r="AE407" i="7"/>
  <c r="AD963" i="7" s="1"/>
  <c r="W773" i="7"/>
  <c r="V989" i="7" s="1"/>
  <c r="D754" i="7"/>
  <c r="D721" i="5" s="1"/>
  <c r="G92" i="23"/>
  <c r="E111" i="13"/>
  <c r="G189" i="13"/>
  <c r="D317" i="13"/>
  <c r="G364" i="13"/>
  <c r="D400" i="13"/>
  <c r="E574" i="13"/>
  <c r="W114" i="15"/>
  <c r="W115" i="15" s="1"/>
  <c r="V923" i="15" s="1"/>
  <c r="AI932" i="15"/>
  <c r="F306" i="15"/>
  <c r="F943" i="15" s="1"/>
  <c r="D943" i="15" s="1"/>
  <c r="AE346" i="15"/>
  <c r="AD944" i="15" s="1"/>
  <c r="D364" i="15"/>
  <c r="E365" i="15" s="1"/>
  <c r="O472" i="15"/>
  <c r="N951" i="15" s="1"/>
  <c r="D492" i="15"/>
  <c r="D494" i="15" s="1"/>
  <c r="U495" i="15"/>
  <c r="D502" i="15"/>
  <c r="K636" i="15"/>
  <c r="K637" i="15" s="1"/>
  <c r="J969" i="15" s="1"/>
  <c r="W657" i="15"/>
  <c r="V970" i="15" s="1"/>
  <c r="G58" i="7"/>
  <c r="D54" i="7" s="1"/>
  <c r="D55" i="5" s="1"/>
  <c r="D57" i="5" s="1"/>
  <c r="E59" i="5" s="1"/>
  <c r="AG144" i="7"/>
  <c r="AF940" i="7" s="1"/>
  <c r="AG941" i="7" s="1"/>
  <c r="I374" i="7"/>
  <c r="I382" i="7" s="1"/>
  <c r="H960" i="7" s="1"/>
  <c r="D595" i="7"/>
  <c r="D563" i="5" s="1"/>
  <c r="S607" i="7"/>
  <c r="R979" i="7" s="1"/>
  <c r="S979" i="7" s="1"/>
  <c r="S980" i="7" s="1"/>
  <c r="K771" i="7"/>
  <c r="F327" i="5"/>
  <c r="G328" i="5" s="1"/>
  <c r="G563" i="5"/>
  <c r="G629" i="5"/>
  <c r="F53" i="23"/>
  <c r="H53" i="23" s="1"/>
  <c r="M98" i="23"/>
  <c r="E109" i="23"/>
  <c r="F109" i="23" s="1"/>
  <c r="H109" i="23" s="1"/>
  <c r="S655" i="15"/>
  <c r="S657" i="15" s="1"/>
  <c r="R970" i="15" s="1"/>
  <c r="D654" i="15"/>
  <c r="E820" i="15"/>
  <c r="Q829" i="15"/>
  <c r="Q978" i="15" s="1"/>
  <c r="E827" i="15"/>
  <c r="AG829" i="15"/>
  <c r="AG978" i="15" s="1"/>
  <c r="AF358" i="7"/>
  <c r="D358" i="7" s="1"/>
  <c r="D357" i="5" s="1"/>
  <c r="D356" i="7"/>
  <c r="D355" i="5" s="1"/>
  <c r="T675" i="7"/>
  <c r="U427" i="7"/>
  <c r="T964" i="7" s="1"/>
  <c r="G240" i="7"/>
  <c r="D229" i="7"/>
  <c r="E228" i="5" s="1"/>
  <c r="S427" i="7"/>
  <c r="R964" i="7" s="1"/>
  <c r="R675" i="7"/>
  <c r="D627" i="5"/>
  <c r="E629" i="5" s="1"/>
  <c r="E662" i="7"/>
  <c r="E1004" i="7"/>
  <c r="D80" i="4"/>
  <c r="E82" i="4" s="1"/>
  <c r="D114" i="5"/>
  <c r="E115" i="5" s="1"/>
  <c r="E115" i="7"/>
  <c r="D507" i="7"/>
  <c r="D508" i="5" s="1"/>
  <c r="X509" i="7"/>
  <c r="Y510" i="7" s="1"/>
  <c r="Y521" i="7" s="1"/>
  <c r="X967" i="7" s="1"/>
  <c r="AE29" i="23"/>
  <c r="C29" i="23"/>
  <c r="G29" i="23" s="1"/>
  <c r="G549" i="13"/>
  <c r="G850" i="13"/>
  <c r="H850" i="13" s="1"/>
  <c r="S346" i="15"/>
  <c r="R944" i="15" s="1"/>
  <c r="U361" i="7"/>
  <c r="T959" i="7" s="1"/>
  <c r="O465" i="7"/>
  <c r="N965" i="7" s="1"/>
  <c r="AG652" i="7"/>
  <c r="AF984" i="7" s="1"/>
  <c r="E102" i="15"/>
  <c r="AC926" i="15"/>
  <c r="G135" i="15"/>
  <c r="F925" i="15" s="1"/>
  <c r="O135" i="15"/>
  <c r="N925" i="15" s="1"/>
  <c r="AE135" i="15"/>
  <c r="AD925" i="15" s="1"/>
  <c r="AE926" i="15" s="1"/>
  <c r="D260" i="15"/>
  <c r="D329" i="15"/>
  <c r="E330" i="15" s="1"/>
  <c r="AE359" i="15"/>
  <c r="AE367" i="15" s="1"/>
  <c r="AD945" i="15" s="1"/>
  <c r="S392" i="15"/>
  <c r="R948" i="15" s="1"/>
  <c r="AI392" i="15"/>
  <c r="AH948" i="15" s="1"/>
  <c r="E563" i="15"/>
  <c r="E564" i="15" s="1"/>
  <c r="E567" i="15" s="1"/>
  <c r="Y756" i="15"/>
  <c r="Y758" i="15" s="1"/>
  <c r="X974" i="15" s="1"/>
  <c r="G46" i="7"/>
  <c r="G407" i="7"/>
  <c r="F963" i="7" s="1"/>
  <c r="W407" i="7"/>
  <c r="V963" i="7" s="1"/>
  <c r="C56" i="23"/>
  <c r="C63" i="23" s="1"/>
  <c r="E49" i="13"/>
  <c r="G49" i="13" s="1"/>
  <c r="E91" i="13"/>
  <c r="E92" i="13" s="1"/>
  <c r="G214" i="13"/>
  <c r="D313" i="13"/>
  <c r="D324" i="13"/>
  <c r="D333" i="13"/>
  <c r="D314" i="13"/>
  <c r="D326" i="13"/>
  <c r="H385" i="13"/>
  <c r="E654" i="13"/>
  <c r="E751" i="13"/>
  <c r="G972" i="13"/>
  <c r="S932" i="15"/>
  <c r="M932" i="15"/>
  <c r="D208" i="15"/>
  <c r="O236" i="15"/>
  <c r="N932" i="15" s="1"/>
  <c r="AE236" i="15"/>
  <c r="AD932" i="15" s="1"/>
  <c r="D264" i="15"/>
  <c r="O346" i="15"/>
  <c r="N944" i="15" s="1"/>
  <c r="O945" i="15" s="1"/>
  <c r="U367" i="15"/>
  <c r="T945" i="15" s="1"/>
  <c r="AG365" i="15"/>
  <c r="D438" i="15"/>
  <c r="E464" i="15"/>
  <c r="G472" i="15"/>
  <c r="F951" i="15" s="1"/>
  <c r="W472" i="15"/>
  <c r="V951" i="15" s="1"/>
  <c r="AE472" i="15"/>
  <c r="AD951" i="15" s="1"/>
  <c r="S506" i="15"/>
  <c r="R952" i="15" s="1"/>
  <c r="AA506" i="15"/>
  <c r="Z952" i="15" s="1"/>
  <c r="I495" i="15"/>
  <c r="I506" i="15" s="1"/>
  <c r="H952" i="15" s="1"/>
  <c r="D495" i="15"/>
  <c r="G567" i="15"/>
  <c r="F963" i="15" s="1"/>
  <c r="W567" i="15"/>
  <c r="V963" i="15" s="1"/>
  <c r="G592" i="15"/>
  <c r="F964" i="15" s="1"/>
  <c r="W592" i="15"/>
  <c r="V964" i="15" s="1"/>
  <c r="AE657" i="15"/>
  <c r="AD970" i="15" s="1"/>
  <c r="E123" i="4"/>
  <c r="E125" i="4" s="1"/>
  <c r="E148" i="4" s="1"/>
  <c r="E103" i="7"/>
  <c r="I144" i="7"/>
  <c r="H940" i="7" s="1"/>
  <c r="Q374" i="7"/>
  <c r="Q382" i="7" s="1"/>
  <c r="P960" i="7" s="1"/>
  <c r="U407" i="7"/>
  <c r="T963" i="7" s="1"/>
  <c r="D463" i="7"/>
  <c r="D463" i="5" s="1"/>
  <c r="K607" i="7"/>
  <c r="J979" i="7" s="1"/>
  <c r="D685" i="7"/>
  <c r="D652" i="5" s="1"/>
  <c r="AE773" i="7"/>
  <c r="AD989" i="7" s="1"/>
  <c r="F207" i="5"/>
  <c r="G220" i="5" s="1"/>
  <c r="G222" i="5" s="1"/>
  <c r="F24" i="4" s="1"/>
  <c r="G620" i="5"/>
  <c r="D57" i="13"/>
  <c r="E189" i="13"/>
  <c r="E214" i="13"/>
  <c r="H258" i="13"/>
  <c r="D310" i="13"/>
  <c r="D323" i="13"/>
  <c r="D404" i="13"/>
  <c r="D401" i="13"/>
  <c r="E406" i="13"/>
  <c r="G475" i="13"/>
  <c r="G839" i="13"/>
  <c r="E972" i="13"/>
  <c r="E106" i="15"/>
  <c r="E110" i="15"/>
  <c r="I135" i="15"/>
  <c r="H925" i="15" s="1"/>
  <c r="Q135" i="15"/>
  <c r="P925" i="15" s="1"/>
  <c r="Q926" i="15" s="1"/>
  <c r="Y135" i="15"/>
  <c r="X925" i="15" s="1"/>
  <c r="Y926" i="15" s="1"/>
  <c r="AG135" i="15"/>
  <c r="AF925" i="15" s="1"/>
  <c r="AG926" i="15" s="1"/>
  <c r="AG934" i="15" s="1"/>
  <c r="D315" i="15"/>
  <c r="E316" i="15" s="1"/>
  <c r="M346" i="15"/>
  <c r="L944" i="15" s="1"/>
  <c r="U346" i="15"/>
  <c r="T944" i="15" s="1"/>
  <c r="U945" i="15" s="1"/>
  <c r="Q343" i="15"/>
  <c r="Q346" i="15" s="1"/>
  <c r="P944" i="15" s="1"/>
  <c r="D357" i="15"/>
  <c r="D358" i="15" s="1"/>
  <c r="K367" i="15"/>
  <c r="J945" i="15" s="1"/>
  <c r="AA367" i="15"/>
  <c r="Z945" i="15" s="1"/>
  <c r="AF359" i="15"/>
  <c r="AG359" i="15" s="1"/>
  <c r="AG367" i="15" s="1"/>
  <c r="AF945" i="15" s="1"/>
  <c r="E382" i="15"/>
  <c r="E390" i="15"/>
  <c r="D440" i="15"/>
  <c r="E441" i="15" s="1"/>
  <c r="AA441" i="15"/>
  <c r="AA450" i="15" s="1"/>
  <c r="Z950" i="15" s="1"/>
  <c r="K472" i="15"/>
  <c r="J951" i="15" s="1"/>
  <c r="S472" i="15"/>
  <c r="R951" i="15" s="1"/>
  <c r="AA472" i="15"/>
  <c r="Z951" i="15" s="1"/>
  <c r="AI472" i="15"/>
  <c r="AH951" i="15" s="1"/>
  <c r="U472" i="15"/>
  <c r="T951" i="15" s="1"/>
  <c r="D484" i="15"/>
  <c r="E485" i="15" s="1"/>
  <c r="AC495" i="15"/>
  <c r="AC506" i="15" s="1"/>
  <c r="AB952" i="15" s="1"/>
  <c r="AC953" i="15" s="1"/>
  <c r="AI495" i="15"/>
  <c r="AI506" i="15" s="1"/>
  <c r="AH952" i="15" s="1"/>
  <c r="E605" i="15"/>
  <c r="AA637" i="15"/>
  <c r="Z969" i="15" s="1"/>
  <c r="I637" i="15"/>
  <c r="H969" i="15" s="1"/>
  <c r="Q637" i="15"/>
  <c r="P969" i="15" s="1"/>
  <c r="Y637" i="15"/>
  <c r="X969" i="15" s="1"/>
  <c r="AI637" i="15"/>
  <c r="AH969" i="15" s="1"/>
  <c r="U657" i="15"/>
  <c r="T970" i="15" s="1"/>
  <c r="AC657" i="15"/>
  <c r="AB970" i="15" s="1"/>
  <c r="U758" i="15"/>
  <c r="T974" i="15" s="1"/>
  <c r="Q756" i="15"/>
  <c r="Q758" i="15" s="1"/>
  <c r="P974" i="15" s="1"/>
  <c r="K123" i="7"/>
  <c r="K124" i="7" s="1"/>
  <c r="J938" i="7" s="1"/>
  <c r="G220" i="7"/>
  <c r="G223" i="7" s="1"/>
  <c r="F946" i="7" s="1"/>
  <c r="G344" i="7"/>
  <c r="O382" i="7"/>
  <c r="N960" i="7" s="1"/>
  <c r="Q465" i="7"/>
  <c r="P965" i="7" s="1"/>
  <c r="I463" i="7"/>
  <c r="K487" i="7"/>
  <c r="J966" i="7" s="1"/>
  <c r="AE517" i="7"/>
  <c r="E548" i="5"/>
  <c r="M582" i="7"/>
  <c r="L978" i="7" s="1"/>
  <c r="U582" i="7"/>
  <c r="T978" i="7" s="1"/>
  <c r="AC582" i="7"/>
  <c r="AB978" i="7" s="1"/>
  <c r="K652" i="7"/>
  <c r="J984" i="7" s="1"/>
  <c r="Y652" i="7"/>
  <c r="X984" i="7" s="1"/>
  <c r="I672" i="7"/>
  <c r="H985" i="7" s="1"/>
  <c r="Q672" i="7"/>
  <c r="P985" i="7" s="1"/>
  <c r="Y672" i="7"/>
  <c r="X985" i="7" s="1"/>
  <c r="AG672" i="7"/>
  <c r="AF985" i="7" s="1"/>
  <c r="O698" i="7"/>
  <c r="N986" i="7" s="1"/>
  <c r="AG698" i="7"/>
  <c r="AF986" i="7" s="1"/>
  <c r="G163" i="5"/>
  <c r="F19" i="4" s="1"/>
  <c r="G189" i="5"/>
  <c r="G192" i="5" s="1"/>
  <c r="F23" i="4" s="1"/>
  <c r="G248" i="5"/>
  <c r="G250" i="5" s="1"/>
  <c r="F25" i="4" s="1"/>
  <c r="F372" i="5"/>
  <c r="G373" i="5" s="1"/>
  <c r="G396" i="5"/>
  <c r="G13" i="23"/>
  <c r="G17" i="23"/>
  <c r="G22" i="23"/>
  <c r="AE31" i="23"/>
  <c r="G25" i="23"/>
  <c r="G27" i="23"/>
  <c r="F46" i="23"/>
  <c r="H46" i="23" s="1"/>
  <c r="H51" i="23"/>
  <c r="F54" i="23"/>
  <c r="H54" i="23" s="1"/>
  <c r="H71" i="23"/>
  <c r="C98" i="23"/>
  <c r="E105" i="23"/>
  <c r="T123" i="23"/>
  <c r="AR123" i="23"/>
  <c r="BP123" i="23"/>
  <c r="CN123" i="23"/>
  <c r="G123" i="23"/>
  <c r="AA657" i="15"/>
  <c r="Z970" i="15" s="1"/>
  <c r="AI657" i="15"/>
  <c r="AH970" i="15" s="1"/>
  <c r="E677" i="15"/>
  <c r="E697" i="15"/>
  <c r="AI758" i="15"/>
  <c r="AH974" i="15" s="1"/>
  <c r="G808" i="15"/>
  <c r="F752" i="15" s="1"/>
  <c r="G64" i="7"/>
  <c r="D60" i="7" s="1"/>
  <c r="D62" i="7" s="1"/>
  <c r="E64" i="7" s="1"/>
  <c r="W123" i="7"/>
  <c r="W124" i="7" s="1"/>
  <c r="V938" i="7" s="1"/>
  <c r="AE123" i="7"/>
  <c r="AE124" i="7" s="1"/>
  <c r="AD938" i="7" s="1"/>
  <c r="D941" i="7"/>
  <c r="D207" i="7"/>
  <c r="I250" i="7"/>
  <c r="H947" i="7" s="1"/>
  <c r="I947" i="7" s="1"/>
  <c r="Q250" i="7"/>
  <c r="P947" i="7" s="1"/>
  <c r="Q947" i="7" s="1"/>
  <c r="Y250" i="7"/>
  <c r="X947" i="7" s="1"/>
  <c r="Y947" i="7" s="1"/>
  <c r="AG250" i="7"/>
  <c r="AF947" i="7" s="1"/>
  <c r="AG947" i="7" s="1"/>
  <c r="U250" i="7"/>
  <c r="T947" i="7" s="1"/>
  <c r="U947" i="7" s="1"/>
  <c r="AC336" i="7"/>
  <c r="D336" i="7"/>
  <c r="D335" i="5" s="1"/>
  <c r="W456" i="7"/>
  <c r="W465" i="7" s="1"/>
  <c r="V965" i="7" s="1"/>
  <c r="Q487" i="7"/>
  <c r="P966" i="7" s="1"/>
  <c r="Y487" i="7"/>
  <c r="X966" i="7" s="1"/>
  <c r="AG487" i="7"/>
  <c r="AF966" i="7" s="1"/>
  <c r="U517" i="7"/>
  <c r="I607" i="7"/>
  <c r="H979" i="7" s="1"/>
  <c r="I979" i="7" s="1"/>
  <c r="I980" i="7" s="1"/>
  <c r="Y607" i="7"/>
  <c r="X979" i="7" s="1"/>
  <c r="Y979" i="7" s="1"/>
  <c r="Y980" i="7" s="1"/>
  <c r="AG607" i="7"/>
  <c r="AF979" i="7" s="1"/>
  <c r="AG979" i="7" s="1"/>
  <c r="AG980" i="7" s="1"/>
  <c r="E588" i="5"/>
  <c r="D64" i="4" s="1"/>
  <c r="W672" i="7"/>
  <c r="V985" i="7" s="1"/>
  <c r="E679" i="5"/>
  <c r="D68" i="4" s="1"/>
  <c r="S771" i="7"/>
  <c r="S773" i="7" s="1"/>
  <c r="R989" i="7" s="1"/>
  <c r="G139" i="5"/>
  <c r="D205" i="5"/>
  <c r="D207" i="5" s="1"/>
  <c r="G285" i="5"/>
  <c r="G292" i="5"/>
  <c r="E318" i="5"/>
  <c r="F334" i="5"/>
  <c r="G335" i="5" s="1"/>
  <c r="F342" i="5"/>
  <c r="G343" i="5" s="1"/>
  <c r="G479" i="5"/>
  <c r="G567" i="5"/>
  <c r="G771" i="5"/>
  <c r="M31" i="23"/>
  <c r="G28" i="23"/>
  <c r="G63" i="23"/>
  <c r="F45" i="23"/>
  <c r="H45" i="23" s="1"/>
  <c r="F48" i="23"/>
  <c r="H48" i="23" s="1"/>
  <c r="BD72" i="23"/>
  <c r="L80" i="23"/>
  <c r="G93" i="23"/>
  <c r="AK98" i="23"/>
  <c r="AQ98" i="23"/>
  <c r="AW98" i="23"/>
  <c r="BC98" i="23"/>
  <c r="BI98" i="23"/>
  <c r="BO98" i="23"/>
  <c r="CA98" i="23"/>
  <c r="CG98" i="23"/>
  <c r="CM98" i="23"/>
  <c r="CS98" i="23"/>
  <c r="M567" i="15"/>
  <c r="L963" i="15" s="1"/>
  <c r="U567" i="15"/>
  <c r="T963" i="15" s="1"/>
  <c r="U964" i="15" s="1"/>
  <c r="U965" i="15" s="1"/>
  <c r="AC567" i="15"/>
  <c r="AB963" i="15" s="1"/>
  <c r="AC592" i="15"/>
  <c r="AB964" i="15" s="1"/>
  <c r="AI592" i="15"/>
  <c r="AH964" i="15" s="1"/>
  <c r="AI964" i="15" s="1"/>
  <c r="AI965" i="15" s="1"/>
  <c r="O592" i="15"/>
  <c r="N964" i="15" s="1"/>
  <c r="O964" i="15" s="1"/>
  <c r="O965" i="15" s="1"/>
  <c r="AE592" i="15"/>
  <c r="AD964" i="15" s="1"/>
  <c r="W637" i="15"/>
  <c r="V969" i="15" s="1"/>
  <c r="G637" i="15"/>
  <c r="F969" i="15" s="1"/>
  <c r="O637" i="15"/>
  <c r="N969" i="15" s="1"/>
  <c r="I657" i="15"/>
  <c r="H970" i="15" s="1"/>
  <c r="Q657" i="15"/>
  <c r="P970" i="15" s="1"/>
  <c r="Y657" i="15"/>
  <c r="X970" i="15" s="1"/>
  <c r="AG657" i="15"/>
  <c r="AF970" i="15" s="1"/>
  <c r="D653" i="15"/>
  <c r="E719" i="15"/>
  <c r="W808" i="15"/>
  <c r="V752" i="15" s="1"/>
  <c r="W756" i="15" s="1"/>
  <c r="W758" i="15" s="1"/>
  <c r="V974" i="15" s="1"/>
  <c r="W974" i="15" s="1"/>
  <c r="W975" i="15" s="1"/>
  <c r="S808" i="15"/>
  <c r="AA808" i="15"/>
  <c r="Z752" i="15" s="1"/>
  <c r="AA756" i="15" s="1"/>
  <c r="AA758" i="15" s="1"/>
  <c r="Z974" i="15" s="1"/>
  <c r="AI808" i="15"/>
  <c r="S918" i="15"/>
  <c r="AI918" i="15"/>
  <c r="E989" i="15"/>
  <c r="AI933" i="7"/>
  <c r="F68" i="7"/>
  <c r="G70" i="7" s="1"/>
  <c r="D66" i="7" s="1"/>
  <c r="D68" i="7" s="1"/>
  <c r="E70" i="7" s="1"/>
  <c r="E119" i="7"/>
  <c r="M123" i="7"/>
  <c r="M124" i="7" s="1"/>
  <c r="L938" i="7" s="1"/>
  <c r="AC941" i="7"/>
  <c r="G123" i="7"/>
  <c r="G124" i="7" s="1"/>
  <c r="F938" i="7" s="1"/>
  <c r="O123" i="7"/>
  <c r="O124" i="7" s="1"/>
  <c r="N938" i="7" s="1"/>
  <c r="G144" i="7"/>
  <c r="F940" i="7" s="1"/>
  <c r="O144" i="7"/>
  <c r="N940" i="7" s="1"/>
  <c r="W144" i="7"/>
  <c r="V940" i="7" s="1"/>
  <c r="AE144" i="7"/>
  <c r="AD940" i="7" s="1"/>
  <c r="E142" i="7"/>
  <c r="K144" i="7"/>
  <c r="J940" i="7" s="1"/>
  <c r="S144" i="7"/>
  <c r="R940" i="7" s="1"/>
  <c r="AA144" i="7"/>
  <c r="Z940" i="7" s="1"/>
  <c r="AA941" i="7" s="1"/>
  <c r="AI144" i="7"/>
  <c r="AH940" i="7" s="1"/>
  <c r="AI941" i="7" s="1"/>
  <c r="D220" i="7"/>
  <c r="D220" i="5" s="1"/>
  <c r="O250" i="7"/>
  <c r="N947" i="7" s="1"/>
  <c r="O947" i="7" s="1"/>
  <c r="W250" i="7"/>
  <c r="V947" i="7" s="1"/>
  <c r="W947" i="7" s="1"/>
  <c r="AE250" i="7"/>
  <c r="AD947" i="7" s="1"/>
  <c r="G248" i="7"/>
  <c r="S250" i="7"/>
  <c r="R947" i="7" s="1"/>
  <c r="S947" i="7" s="1"/>
  <c r="AI250" i="7"/>
  <c r="AH947" i="7" s="1"/>
  <c r="AI947" i="7" s="1"/>
  <c r="E269" i="5"/>
  <c r="E292" i="5"/>
  <c r="I361" i="7"/>
  <c r="H959" i="7" s="1"/>
  <c r="I960" i="7" s="1"/>
  <c r="Q361" i="7"/>
  <c r="P959" i="7" s="1"/>
  <c r="Q960" i="7" s="1"/>
  <c r="Y361" i="7"/>
  <c r="X959" i="7" s="1"/>
  <c r="K361" i="7"/>
  <c r="J959" i="7" s="1"/>
  <c r="D342" i="5"/>
  <c r="E343" i="5" s="1"/>
  <c r="AA358" i="7"/>
  <c r="AA361" i="7" s="1"/>
  <c r="Z959" i="7" s="1"/>
  <c r="AI358" i="7"/>
  <c r="AI361" i="7" s="1"/>
  <c r="AH959" i="7" s="1"/>
  <c r="G382" i="7"/>
  <c r="F960" i="7" s="1"/>
  <c r="AE374" i="7"/>
  <c r="AE382" i="7" s="1"/>
  <c r="AD960" i="7" s="1"/>
  <c r="D374" i="7"/>
  <c r="D373" i="5" s="1"/>
  <c r="S456" i="7"/>
  <c r="S465" i="7" s="1"/>
  <c r="R965" i="7" s="1"/>
  <c r="AA456" i="7"/>
  <c r="AA465" i="7" s="1"/>
  <c r="Z965" i="7" s="1"/>
  <c r="AI465" i="7"/>
  <c r="AH965" i="7" s="1"/>
  <c r="D460" i="7"/>
  <c r="D460" i="5" s="1"/>
  <c r="D462" i="5" s="1"/>
  <c r="G487" i="7"/>
  <c r="F966" i="7" s="1"/>
  <c r="O487" i="7"/>
  <c r="N966" i="7" s="1"/>
  <c r="W487" i="7"/>
  <c r="V966" i="7" s="1"/>
  <c r="AE487" i="7"/>
  <c r="AD966" i="7" s="1"/>
  <c r="M487" i="7"/>
  <c r="L966" i="7" s="1"/>
  <c r="U487" i="7"/>
  <c r="T966" i="7" s="1"/>
  <c r="AC487" i="7"/>
  <c r="AB966" i="7" s="1"/>
  <c r="AE510" i="7"/>
  <c r="K517" i="7"/>
  <c r="O607" i="7"/>
  <c r="N979" i="7" s="1"/>
  <c r="W607" i="7"/>
  <c r="V979" i="7" s="1"/>
  <c r="W979" i="7" s="1"/>
  <c r="W980" i="7" s="1"/>
  <c r="AE607" i="7"/>
  <c r="AD979" i="7" s="1"/>
  <c r="AE979" i="7" s="1"/>
  <c r="AE980" i="7" s="1"/>
  <c r="E566" i="5"/>
  <c r="M607" i="7"/>
  <c r="L979" i="7" s="1"/>
  <c r="U607" i="7"/>
  <c r="T979" i="7" s="1"/>
  <c r="AC607" i="7"/>
  <c r="AB979" i="7" s="1"/>
  <c r="D603" i="7"/>
  <c r="D571" i="5" s="1"/>
  <c r="M672" i="7"/>
  <c r="L985" i="7" s="1"/>
  <c r="U672" i="7"/>
  <c r="T985" i="7" s="1"/>
  <c r="AC672" i="7"/>
  <c r="AB985" i="7" s="1"/>
  <c r="E666" i="7"/>
  <c r="M698" i="7"/>
  <c r="L986" i="7" s="1"/>
  <c r="E696" i="7"/>
  <c r="E663" i="5" s="1"/>
  <c r="K773" i="7"/>
  <c r="J989" i="7" s="1"/>
  <c r="AI773" i="7"/>
  <c r="AH989" i="7" s="1"/>
  <c r="I771" i="7"/>
  <c r="I773" i="7" s="1"/>
  <c r="H989" i="7" s="1"/>
  <c r="AG771" i="7"/>
  <c r="AG773" i="7" s="1"/>
  <c r="AF989" i="7" s="1"/>
  <c r="O933" i="7"/>
  <c r="W933" i="7"/>
  <c r="AE933" i="7"/>
  <c r="S933" i="7"/>
  <c r="G301" i="5"/>
  <c r="G505" i="5"/>
  <c r="G548" i="5"/>
  <c r="G549" i="5" s="1"/>
  <c r="G553" i="5" s="1"/>
  <c r="F59" i="4" s="1"/>
  <c r="G602" i="5"/>
  <c r="G633" i="5"/>
  <c r="G738" i="5"/>
  <c r="E63" i="23"/>
  <c r="F50" i="23"/>
  <c r="H50" i="23" s="1"/>
  <c r="F60" i="23"/>
  <c r="H60" i="23" s="1"/>
  <c r="X63" i="23"/>
  <c r="CF63" i="23"/>
  <c r="G90" i="23"/>
  <c r="G94" i="23"/>
  <c r="C111" i="23"/>
  <c r="AX123" i="23"/>
  <c r="CT123" i="23"/>
  <c r="C281" i="8"/>
  <c r="E281" i="8" s="1"/>
  <c r="E279" i="8"/>
  <c r="D202" i="8"/>
  <c r="E202" i="8" s="1"/>
  <c r="C289" i="8"/>
  <c r="E289" i="8" s="1"/>
  <c r="E287" i="8"/>
  <c r="E36" i="8"/>
  <c r="E565" i="8"/>
  <c r="E610" i="8"/>
  <c r="E19" i="8"/>
  <c r="E20" i="8" s="1"/>
  <c r="E303" i="8"/>
  <c r="C268" i="8"/>
  <c r="E176" i="8"/>
  <c r="Q932" i="15"/>
  <c r="S361" i="7"/>
  <c r="R959" i="7" s="1"/>
  <c r="Y932" i="15"/>
  <c r="AG521" i="7"/>
  <c r="AF967" i="7" s="1"/>
  <c r="D945" i="7"/>
  <c r="K947" i="7"/>
  <c r="E528" i="13"/>
  <c r="D370" i="13"/>
  <c r="D926" i="15"/>
  <c r="D929" i="15"/>
  <c r="G932" i="15"/>
  <c r="AE932" i="15"/>
  <c r="I932" i="15"/>
  <c r="O450" i="15"/>
  <c r="N950" i="15" s="1"/>
  <c r="W506" i="15"/>
  <c r="V952" i="15" s="1"/>
  <c r="D953" i="15"/>
  <c r="AE758" i="15"/>
  <c r="AD974" i="15" s="1"/>
  <c r="G756" i="15"/>
  <c r="G758" i="15" s="1"/>
  <c r="F974" i="15" s="1"/>
  <c r="E405" i="5"/>
  <c r="E821" i="13"/>
  <c r="E823" i="13" s="1"/>
  <c r="I367" i="15"/>
  <c r="H945" i="15" s="1"/>
  <c r="Q506" i="15"/>
  <c r="P952" i="15" s="1"/>
  <c r="D930" i="15"/>
  <c r="D332" i="5"/>
  <c r="D334" i="5" s="1"/>
  <c r="D335" i="7"/>
  <c r="E336" i="7" s="1"/>
  <c r="Y427" i="7"/>
  <c r="X964" i="7" s="1"/>
  <c r="X675" i="7"/>
  <c r="AF675" i="7"/>
  <c r="AG427" i="7"/>
  <c r="AF964" i="7" s="1"/>
  <c r="M979" i="7"/>
  <c r="M980" i="7" s="1"/>
  <c r="G979" i="7"/>
  <c r="G980" i="7" s="1"/>
  <c r="H675" i="7"/>
  <c r="D141" i="5"/>
  <c r="E142" i="5" s="1"/>
  <c r="E189" i="5"/>
  <c r="E192" i="5" s="1"/>
  <c r="D23" i="4" s="1"/>
  <c r="I56" i="13"/>
  <c r="G821" i="13"/>
  <c r="G823" i="13" s="1"/>
  <c r="G66" i="15"/>
  <c r="G79" i="15" s="1"/>
  <c r="D48" i="15"/>
  <c r="D50" i="15" s="1"/>
  <c r="E52" i="15" s="1"/>
  <c r="E66" i="15" s="1"/>
  <c r="E90" i="15"/>
  <c r="AA932" i="15"/>
  <c r="K208" i="15"/>
  <c r="K211" i="15" s="1"/>
  <c r="J931" i="15" s="1"/>
  <c r="E234" i="15"/>
  <c r="W343" i="15"/>
  <c r="W346" i="15" s="1"/>
  <c r="V944" i="15" s="1"/>
  <c r="Q367" i="15"/>
  <c r="P945" i="15" s="1"/>
  <c r="Y367" i="15"/>
  <c r="X945" i="15" s="1"/>
  <c r="V440" i="15"/>
  <c r="W441" i="15" s="1"/>
  <c r="W450" i="15" s="1"/>
  <c r="V950" i="15" s="1"/>
  <c r="AE637" i="15"/>
  <c r="AD969" i="15" s="1"/>
  <c r="D931" i="7"/>
  <c r="D123" i="7"/>
  <c r="D172" i="5"/>
  <c r="E173" i="5" s="1"/>
  <c r="E178" i="5" s="1"/>
  <c r="D22" i="4" s="1"/>
  <c r="E173" i="7"/>
  <c r="E178" i="7" s="1"/>
  <c r="E189" i="7"/>
  <c r="E192" i="7" s="1"/>
  <c r="D299" i="5"/>
  <c r="E301" i="5" s="1"/>
  <c r="E300" i="7"/>
  <c r="O361" i="7"/>
  <c r="N959" i="7" s="1"/>
  <c r="O960" i="7" s="1"/>
  <c r="AA374" i="7"/>
  <c r="AA382" i="7" s="1"/>
  <c r="Z960" i="7" s="1"/>
  <c r="Q427" i="7"/>
  <c r="P964" i="7" s="1"/>
  <c r="O979" i="7"/>
  <c r="O980" i="7" s="1"/>
  <c r="M652" i="7"/>
  <c r="L984" i="7" s="1"/>
  <c r="E611" i="5"/>
  <c r="E712" i="7"/>
  <c r="G771" i="7"/>
  <c r="G773" i="7" s="1"/>
  <c r="F989" i="7" s="1"/>
  <c r="E119" i="5"/>
  <c r="C80" i="23"/>
  <c r="G654" i="13"/>
  <c r="G775" i="13"/>
  <c r="S114" i="15"/>
  <c r="S115" i="15" s="1"/>
  <c r="R923" i="15" s="1"/>
  <c r="S926" i="15" s="1"/>
  <c r="AI114" i="15"/>
  <c r="AI115" i="15" s="1"/>
  <c r="AH923" i="15" s="1"/>
  <c r="AI926" i="15" s="1"/>
  <c r="Y346" i="15"/>
  <c r="X944" i="15" s="1"/>
  <c r="D336" i="15"/>
  <c r="H342" i="15"/>
  <c r="I343" i="15" s="1"/>
  <c r="I346" i="15" s="1"/>
  <c r="H944" i="15" s="1"/>
  <c r="AC343" i="15"/>
  <c r="AC346" i="15" s="1"/>
  <c r="AB944" i="15" s="1"/>
  <c r="S367" i="15"/>
  <c r="R945" i="15" s="1"/>
  <c r="AG441" i="15"/>
  <c r="Y450" i="15"/>
  <c r="X950" i="15" s="1"/>
  <c r="K657" i="15"/>
  <c r="J970" i="15" s="1"/>
  <c r="I683" i="15"/>
  <c r="H971" i="15" s="1"/>
  <c r="Q672" i="15"/>
  <c r="Q683" i="15" s="1"/>
  <c r="P971" i="15" s="1"/>
  <c r="Y683" i="15"/>
  <c r="X971" i="15" s="1"/>
  <c r="AG683" i="15"/>
  <c r="AF971" i="15" s="1"/>
  <c r="D972" i="15"/>
  <c r="S758" i="15"/>
  <c r="R974" i="15" s="1"/>
  <c r="E872" i="15"/>
  <c r="F50" i="7"/>
  <c r="G52" i="7" s="1"/>
  <c r="D48" i="7" s="1"/>
  <c r="F78" i="7"/>
  <c r="G86" i="7" s="1"/>
  <c r="D74" i="7" s="1"/>
  <c r="E99" i="5"/>
  <c r="E264" i="5"/>
  <c r="G302" i="7"/>
  <c r="F957" i="7" s="1"/>
  <c r="E291" i="7"/>
  <c r="F310" i="5"/>
  <c r="F318" i="5" s="1"/>
  <c r="D36" i="4" s="1"/>
  <c r="F319" i="7"/>
  <c r="F958" i="7" s="1"/>
  <c r="D958" i="7" s="1"/>
  <c r="M361" i="7"/>
  <c r="L959" i="7" s="1"/>
  <c r="G336" i="7"/>
  <c r="D347" i="5"/>
  <c r="D373" i="7"/>
  <c r="D379" i="7"/>
  <c r="D380" i="7"/>
  <c r="D379" i="5" s="1"/>
  <c r="O672" i="7"/>
  <c r="N985" i="7" s="1"/>
  <c r="AE672" i="7"/>
  <c r="AD985" i="7" s="1"/>
  <c r="G712" i="7"/>
  <c r="F987" i="7" s="1"/>
  <c r="D987" i="7" s="1"/>
  <c r="E817" i="7"/>
  <c r="E785" i="5"/>
  <c r="E788" i="5" s="1"/>
  <c r="E822" i="7"/>
  <c r="E848" i="5"/>
  <c r="B37" i="20"/>
  <c r="C2" i="20"/>
  <c r="BN80" i="23"/>
  <c r="BP78" i="23"/>
  <c r="BP80" i="23" s="1"/>
  <c r="BP81" i="23" s="1"/>
  <c r="D949" i="15"/>
  <c r="Y506" i="15"/>
  <c r="X952" i="15" s="1"/>
  <c r="D587" i="15"/>
  <c r="E590" i="15" s="1"/>
  <c r="Q590" i="15"/>
  <c r="Q592" i="15" s="1"/>
  <c r="P964" i="15" s="1"/>
  <c r="D968" i="15"/>
  <c r="AA926" i="15"/>
  <c r="AF357" i="7"/>
  <c r="U465" i="7"/>
  <c r="T965" i="7" s="1"/>
  <c r="D570" i="5"/>
  <c r="E605" i="7"/>
  <c r="E642" i="7"/>
  <c r="I362" i="13"/>
  <c r="I364" i="13" s="1"/>
  <c r="I365" i="13" s="1"/>
  <c r="E775" i="13"/>
  <c r="AF342" i="15"/>
  <c r="AG343" i="15" s="1"/>
  <c r="AG346" i="15" s="1"/>
  <c r="AF944" i="15" s="1"/>
  <c r="D338" i="15"/>
  <c r="G495" i="15"/>
  <c r="G506" i="15" s="1"/>
  <c r="F952" i="15" s="1"/>
  <c r="D580" i="15"/>
  <c r="E580" i="15" s="1"/>
  <c r="E592" i="15" s="1"/>
  <c r="AA947" i="7"/>
  <c r="D325" i="5"/>
  <c r="D327" i="5" s="1"/>
  <c r="E328" i="5" s="1"/>
  <c r="D328" i="7"/>
  <c r="E329" i="7" s="1"/>
  <c r="AE361" i="7"/>
  <c r="AD959" i="7" s="1"/>
  <c r="D477" i="7"/>
  <c r="AI479" i="7"/>
  <c r="AI487" i="7" s="1"/>
  <c r="AH966" i="7" s="1"/>
  <c r="D562" i="5"/>
  <c r="E598" i="7"/>
  <c r="E633" i="7"/>
  <c r="U652" i="7"/>
  <c r="T984" i="7" s="1"/>
  <c r="AC652" i="7"/>
  <c r="AB984" i="7" s="1"/>
  <c r="E734" i="7"/>
  <c r="D691" i="5"/>
  <c r="E701" i="5" s="1"/>
  <c r="S98" i="23"/>
  <c r="E16" i="13"/>
  <c r="G16" i="5" s="1"/>
  <c r="F9" i="4" s="1"/>
  <c r="I357" i="13"/>
  <c r="G689" i="13"/>
  <c r="D113" i="15"/>
  <c r="E149" i="15"/>
  <c r="E153" i="15" s="1"/>
  <c r="AI367" i="15"/>
  <c r="AH945" i="15" s="1"/>
  <c r="E489" i="15"/>
  <c r="D612" i="15"/>
  <c r="E618" i="15" s="1"/>
  <c r="AC637" i="15"/>
  <c r="AB969" i="15" s="1"/>
  <c r="E651" i="15"/>
  <c r="K683" i="15"/>
  <c r="J971" i="15" s="1"/>
  <c r="S683" i="15"/>
  <c r="R971" i="15" s="1"/>
  <c r="AA683" i="15"/>
  <c r="Z971" i="15" s="1"/>
  <c r="AI683" i="15"/>
  <c r="AH971" i="15" s="1"/>
  <c r="E852" i="15"/>
  <c r="M918" i="15"/>
  <c r="U918" i="15"/>
  <c r="AC918" i="15"/>
  <c r="D123" i="5"/>
  <c r="D110" i="5"/>
  <c r="E111" i="5" s="1"/>
  <c r="E111" i="7"/>
  <c r="D944" i="7"/>
  <c r="AE220" i="7"/>
  <c r="AE223" i="7" s="1"/>
  <c r="AD946" i="7" s="1"/>
  <c r="E230" i="5"/>
  <c r="E248" i="7"/>
  <c r="W361" i="7"/>
  <c r="V959" i="7" s="1"/>
  <c r="D372" i="5"/>
  <c r="W374" i="7"/>
  <c r="W382" i="7" s="1"/>
  <c r="V960" i="7" s="1"/>
  <c r="E405" i="7"/>
  <c r="V675" i="7"/>
  <c r="W427" i="7"/>
  <c r="V964" i="7" s="1"/>
  <c r="AE427" i="7"/>
  <c r="AD964" i="7" s="1"/>
  <c r="D455" i="5"/>
  <c r="J455" i="7"/>
  <c r="K456" i="7" s="1"/>
  <c r="K465" i="7" s="1"/>
  <c r="J965" i="7" s="1"/>
  <c r="AI510" i="7"/>
  <c r="AI521" i="7" s="1"/>
  <c r="AH967" i="7" s="1"/>
  <c r="D517" i="7"/>
  <c r="D518" i="5" s="1"/>
  <c r="I14" i="20"/>
  <c r="I15" i="20" s="1"/>
  <c r="AH978" i="7"/>
  <c r="Q687" i="7"/>
  <c r="Q698" i="7" s="1"/>
  <c r="P986" i="7" s="1"/>
  <c r="D684" i="7"/>
  <c r="D651" i="5" s="1"/>
  <c r="I698" i="7"/>
  <c r="H986" i="7" s="1"/>
  <c r="E765" i="5"/>
  <c r="E771" i="5" s="1"/>
  <c r="E805" i="7"/>
  <c r="K933" i="7"/>
  <c r="AA933" i="7"/>
  <c r="D102" i="5"/>
  <c r="E103" i="5" s="1"/>
  <c r="D631" i="5"/>
  <c r="E633" i="5" s="1"/>
  <c r="E783" i="5"/>
  <c r="D178" i="15"/>
  <c r="E179" i="15" s="1"/>
  <c r="E182" i="15" s="1"/>
  <c r="D122" i="7"/>
  <c r="E139" i="5"/>
  <c r="D378" i="5"/>
  <c r="I465" i="7"/>
  <c r="H965" i="7" s="1"/>
  <c r="S521" i="7"/>
  <c r="R967" i="7" s="1"/>
  <c r="AA521" i="7"/>
  <c r="Z967" i="7" s="1"/>
  <c r="D510" i="7"/>
  <c r="D511" i="5" s="1"/>
  <c r="D529" i="7"/>
  <c r="L531" i="7"/>
  <c r="M532" i="7" s="1"/>
  <c r="M534" i="7" s="1"/>
  <c r="L968" i="7" s="1"/>
  <c r="D968" i="7" s="1"/>
  <c r="G652" i="7"/>
  <c r="F984" i="7" s="1"/>
  <c r="O652" i="7"/>
  <c r="N984" i="7" s="1"/>
  <c r="W652" i="7"/>
  <c r="V984" i="7" s="1"/>
  <c r="AE652" i="7"/>
  <c r="AD984" i="7" s="1"/>
  <c r="G844" i="7"/>
  <c r="G993" i="7" s="1"/>
  <c r="E993" i="7" s="1"/>
  <c r="E842" i="7"/>
  <c r="E808" i="5" s="1"/>
  <c r="E828" i="5"/>
  <c r="E899" i="7"/>
  <c r="D912" i="7"/>
  <c r="M933" i="7"/>
  <c r="U933" i="7"/>
  <c r="AC933" i="7"/>
  <c r="G53" i="5"/>
  <c r="F378" i="5"/>
  <c r="G379" i="5" s="1"/>
  <c r="G783" i="5"/>
  <c r="BN56" i="23"/>
  <c r="BP56" i="23" s="1"/>
  <c r="BP63" i="23" s="1"/>
  <c r="BL63" i="23"/>
  <c r="BL66" i="23" s="1"/>
  <c r="D56" i="23"/>
  <c r="AX78" i="23"/>
  <c r="AX80" i="23" s="1"/>
  <c r="AX81" i="23" s="1"/>
  <c r="AV80" i="23"/>
  <c r="CH78" i="23"/>
  <c r="CH80" i="23" s="1"/>
  <c r="CH81" i="23" s="1"/>
  <c r="CF80" i="23"/>
  <c r="D343" i="7"/>
  <c r="E344" i="7" s="1"/>
  <c r="E396" i="5"/>
  <c r="E397" i="7"/>
  <c r="E425" i="5"/>
  <c r="E427" i="5" s="1"/>
  <c r="D42" i="4" s="1"/>
  <c r="E425" i="7"/>
  <c r="E427" i="7" s="1"/>
  <c r="AG456" i="7"/>
  <c r="AG465" i="7" s="1"/>
  <c r="AF965" i="7" s="1"/>
  <c r="D456" i="7"/>
  <c r="D456" i="5" s="1"/>
  <c r="D484" i="5"/>
  <c r="E485" i="5" s="1"/>
  <c r="E485" i="7"/>
  <c r="D499" i="7"/>
  <c r="E500" i="7" s="1"/>
  <c r="M521" i="7"/>
  <c r="L967" i="7" s="1"/>
  <c r="AC521" i="7"/>
  <c r="AB967" i="7" s="1"/>
  <c r="E504" i="7"/>
  <c r="D507" i="5"/>
  <c r="G510" i="7"/>
  <c r="D515" i="5"/>
  <c r="D517" i="5" s="1"/>
  <c r="D516" i="7"/>
  <c r="E542" i="5"/>
  <c r="D983" i="7"/>
  <c r="K672" i="7"/>
  <c r="J985" i="7" s="1"/>
  <c r="S672" i="7"/>
  <c r="R985" i="7" s="1"/>
  <c r="AA672" i="7"/>
  <c r="Z985" i="7" s="1"/>
  <c r="AI672" i="7"/>
  <c r="AH985" i="7" s="1"/>
  <c r="K698" i="7"/>
  <c r="J986" i="7" s="1"/>
  <c r="E659" i="5"/>
  <c r="E692" i="7"/>
  <c r="E801" i="5"/>
  <c r="M960" i="7"/>
  <c r="U960" i="7"/>
  <c r="G269" i="5"/>
  <c r="D318" i="5"/>
  <c r="F36" i="4" s="1"/>
  <c r="F356" i="5"/>
  <c r="G357" i="5" s="1"/>
  <c r="F455" i="5"/>
  <c r="G456" i="5" s="1"/>
  <c r="BI31" i="23"/>
  <c r="BD63" i="23"/>
  <c r="BD66" i="23" s="1"/>
  <c r="D455" i="7"/>
  <c r="E578" i="7"/>
  <c r="E579" i="7" s="1"/>
  <c r="E620" i="7"/>
  <c r="E602" i="5"/>
  <c r="J675" i="7"/>
  <c r="E867" i="7"/>
  <c r="D873" i="5"/>
  <c r="Y960" i="7"/>
  <c r="E47" i="5"/>
  <c r="F499" i="5"/>
  <c r="G500" i="5" s="1"/>
  <c r="G701" i="5"/>
  <c r="E21" i="30"/>
  <c r="G7" i="23"/>
  <c r="L63" i="23"/>
  <c r="N39" i="23"/>
  <c r="N63" i="23" s="1"/>
  <c r="AR63" i="23"/>
  <c r="BJ39" i="23"/>
  <c r="E505" i="5"/>
  <c r="E581" i="7"/>
  <c r="E887" i="7"/>
  <c r="G654" i="5"/>
  <c r="G828" i="5"/>
  <c r="G16" i="23"/>
  <c r="AE24" i="23"/>
  <c r="CS31" i="23"/>
  <c r="F39" i="23"/>
  <c r="AX39" i="23"/>
  <c r="CR63" i="23"/>
  <c r="CT39" i="23"/>
  <c r="CT63" i="23" s="1"/>
  <c r="G788" i="5"/>
  <c r="G848" i="5"/>
  <c r="G860" i="5"/>
  <c r="E304" i="8"/>
  <c r="D424" i="8"/>
  <c r="AQ31" i="23"/>
  <c r="E31" i="23"/>
  <c r="G11" i="23"/>
  <c r="G15" i="23"/>
  <c r="G19" i="23"/>
  <c r="C24" i="23"/>
  <c r="G24" i="23" s="1"/>
  <c r="O31" i="23"/>
  <c r="S31" i="23" s="1"/>
  <c r="S24" i="23"/>
  <c r="G26" i="23"/>
  <c r="BO31" i="23"/>
  <c r="BU31" i="23"/>
  <c r="AJ63" i="23"/>
  <c r="AL39" i="23"/>
  <c r="AL63" i="23" s="1"/>
  <c r="CH63" i="23"/>
  <c r="AP111" i="23"/>
  <c r="AR104" i="23"/>
  <c r="AR111" i="23" s="1"/>
  <c r="CL111" i="23"/>
  <c r="CN104" i="23"/>
  <c r="CN111" i="23" s="1"/>
  <c r="AL110" i="23"/>
  <c r="AL111" i="23" s="1"/>
  <c r="AJ111" i="23"/>
  <c r="CH110" i="23"/>
  <c r="CH111" i="23" s="1"/>
  <c r="CF111" i="23"/>
  <c r="G588" i="5"/>
  <c r="F64" i="4" s="1"/>
  <c r="D666" i="8"/>
  <c r="E324" i="8"/>
  <c r="Y31" i="23"/>
  <c r="F31" i="23"/>
  <c r="G10" i="23"/>
  <c r="G14" i="23"/>
  <c r="G18" i="23"/>
  <c r="G23" i="23"/>
  <c r="Z63" i="23"/>
  <c r="BT63" i="23"/>
  <c r="BV39" i="23"/>
  <c r="BV63" i="23" s="1"/>
  <c r="F40" i="23"/>
  <c r="H40" i="23" s="1"/>
  <c r="CL58" i="23"/>
  <c r="CN58" i="23" s="1"/>
  <c r="CN63" i="23" s="1"/>
  <c r="CJ63" i="23"/>
  <c r="CJ66" i="23" s="1"/>
  <c r="AD61" i="23"/>
  <c r="AF61" i="23" s="1"/>
  <c r="AF63" i="23" s="1"/>
  <c r="D61" i="23"/>
  <c r="F61" i="23" s="1"/>
  <c r="H61" i="23" s="1"/>
  <c r="AB63" i="23"/>
  <c r="AB66" i="23" s="1"/>
  <c r="AL79" i="23"/>
  <c r="AL80" i="23" s="1"/>
  <c r="AJ80" i="23"/>
  <c r="BV79" i="23"/>
  <c r="BV80" i="23" s="1"/>
  <c r="E79" i="23"/>
  <c r="E80" i="23" s="1"/>
  <c r="D28" i="8"/>
  <c r="BB80" i="23"/>
  <c r="BD78" i="23"/>
  <c r="BD80" i="23" s="1"/>
  <c r="BD81" i="23" s="1"/>
  <c r="N111" i="23"/>
  <c r="AD111" i="23"/>
  <c r="AF104" i="23"/>
  <c r="AF111" i="23" s="1"/>
  <c r="BJ111" i="23"/>
  <c r="BZ111" i="23"/>
  <c r="CB104" i="23"/>
  <c r="CB111" i="23" s="1"/>
  <c r="Z110" i="23"/>
  <c r="Z111" i="23" s="1"/>
  <c r="X111" i="23"/>
  <c r="BV110" i="23"/>
  <c r="BT111" i="23"/>
  <c r="Q15" i="30"/>
  <c r="AP63" i="23"/>
  <c r="BB63" i="23"/>
  <c r="BZ63" i="23"/>
  <c r="AT63" i="23"/>
  <c r="AT66" i="23" s="1"/>
  <c r="AV58" i="23"/>
  <c r="AX58" i="23" s="1"/>
  <c r="D58" i="23"/>
  <c r="F58" i="23" s="1"/>
  <c r="H58" i="23" s="1"/>
  <c r="E66" i="23"/>
  <c r="T78" i="23"/>
  <c r="T80" i="23" s="1"/>
  <c r="T81" i="23" s="1"/>
  <c r="CT78" i="23"/>
  <c r="CT80" i="23" s="1"/>
  <c r="CT81" i="23" s="1"/>
  <c r="CR80" i="23"/>
  <c r="H70" i="23"/>
  <c r="F78" i="23"/>
  <c r="Z80" i="23"/>
  <c r="Z81" i="23" s="1"/>
  <c r="AP80" i="23"/>
  <c r="CL80" i="23"/>
  <c r="X80" i="23"/>
  <c r="BT80" i="23"/>
  <c r="AE98" i="23"/>
  <c r="BU98" i="23"/>
  <c r="R111" i="23"/>
  <c r="T104" i="23"/>
  <c r="T111" i="23" s="1"/>
  <c r="BN111" i="23"/>
  <c r="BP104" i="23"/>
  <c r="BP111" i="23" s="1"/>
  <c r="CT111" i="23"/>
  <c r="N72" i="23"/>
  <c r="AL72" i="23"/>
  <c r="BJ72" i="23"/>
  <c r="CH72" i="23"/>
  <c r="C72" i="23"/>
  <c r="N80" i="23"/>
  <c r="AD80" i="23"/>
  <c r="AR78" i="23"/>
  <c r="AR80" i="23" s="1"/>
  <c r="AR81" i="23" s="1"/>
  <c r="BJ80" i="23"/>
  <c r="BJ81" i="23" s="1"/>
  <c r="BZ80" i="23"/>
  <c r="CN78" i="23"/>
  <c r="CN80" i="23" s="1"/>
  <c r="CN81" i="23" s="1"/>
  <c r="D123" i="23"/>
  <c r="H121" i="23"/>
  <c r="AF123" i="23"/>
  <c r="BD123" i="23"/>
  <c r="CB123" i="23"/>
  <c r="Y98" i="23"/>
  <c r="BB111" i="23"/>
  <c r="BD104" i="23"/>
  <c r="BD111" i="23" s="1"/>
  <c r="L111" i="23"/>
  <c r="BH111" i="23"/>
  <c r="S953" i="15" l="1"/>
  <c r="E311" i="8"/>
  <c r="E313" i="8" s="1"/>
  <c r="D313" i="8"/>
  <c r="E28" i="8"/>
  <c r="E44" i="8" s="1"/>
  <c r="E743" i="8"/>
  <c r="E745" i="8" s="1"/>
  <c r="F49" i="28"/>
  <c r="F58" i="28"/>
  <c r="D62" i="28"/>
  <c r="E59" i="28"/>
  <c r="E42" i="28"/>
  <c r="E44" i="28" s="1"/>
  <c r="D53" i="28"/>
  <c r="F53" i="28" s="1"/>
  <c r="D51" i="28"/>
  <c r="F51" i="28" s="1"/>
  <c r="D28" i="28"/>
  <c r="E54" i="28"/>
  <c r="D42" i="28"/>
  <c r="D44" i="28" s="1"/>
  <c r="D16" i="28"/>
  <c r="D22" i="28" s="1"/>
  <c r="E62" i="28"/>
  <c r="D24" i="28"/>
  <c r="E335" i="5"/>
  <c r="G407" i="5"/>
  <c r="F41" i="4" s="1"/>
  <c r="E537" i="8"/>
  <c r="E542" i="8" s="1"/>
  <c r="F10" i="28"/>
  <c r="D328" i="8"/>
  <c r="D414" i="8" s="1"/>
  <c r="E322" i="8"/>
  <c r="M953" i="15"/>
  <c r="S964" i="15"/>
  <c r="S965" i="15" s="1"/>
  <c r="D164" i="8"/>
  <c r="E161" i="8"/>
  <c r="E164" i="8" s="1"/>
  <c r="AA960" i="7"/>
  <c r="W926" i="15"/>
  <c r="W934" i="15" s="1"/>
  <c r="Q941" i="7"/>
  <c r="K521" i="7"/>
  <c r="J967" i="7" s="1"/>
  <c r="F118" i="31"/>
  <c r="U521" i="7"/>
  <c r="T967" i="7" s="1"/>
  <c r="U968" i="7" s="1"/>
  <c r="U970" i="7" s="1"/>
  <c r="AG964" i="15"/>
  <c r="AG965" i="15" s="1"/>
  <c r="BN63" i="23"/>
  <c r="E456" i="7"/>
  <c r="E114" i="15"/>
  <c r="E115" i="15" s="1"/>
  <c r="I926" i="15"/>
  <c r="D948" i="15"/>
  <c r="G690" i="13"/>
  <c r="H690" i="13" s="1"/>
  <c r="M926" i="15"/>
  <c r="M934" i="15" s="1"/>
  <c r="Y941" i="7"/>
  <c r="E808" i="15"/>
  <c r="G346" i="15"/>
  <c r="F944" i="15" s="1"/>
  <c r="D766" i="7"/>
  <c r="D733" i="5" s="1"/>
  <c r="E738" i="5" s="1"/>
  <c r="E739" i="5" s="1"/>
  <c r="D70" i="4" s="1"/>
  <c r="E302" i="7"/>
  <c r="M964" i="15"/>
  <c r="M965" i="15" s="1"/>
  <c r="BH63" i="23"/>
  <c r="AC968" i="7"/>
  <c r="AC970" i="7" s="1"/>
  <c r="E159" i="7"/>
  <c r="E163" i="7" s="1"/>
  <c r="W989" i="7"/>
  <c r="W990" i="7" s="1"/>
  <c r="W992" i="7" s="1"/>
  <c r="W994" i="7" s="1"/>
  <c r="W996" i="7" s="1"/>
  <c r="W998" i="7" s="1"/>
  <c r="W1005" i="7" s="1"/>
  <c r="W1009" i="7" s="1"/>
  <c r="D462" i="7"/>
  <c r="E463" i="7" s="1"/>
  <c r="E465" i="7" s="1"/>
  <c r="E392" i="15"/>
  <c r="G964" i="15"/>
  <c r="G965" i="15" s="1"/>
  <c r="U771" i="7"/>
  <c r="U773" i="7" s="1"/>
  <c r="T989" i="7" s="1"/>
  <c r="U989" i="7" s="1"/>
  <c r="U990" i="7" s="1"/>
  <c r="E502" i="15"/>
  <c r="Y989" i="7"/>
  <c r="Y990" i="7" s="1"/>
  <c r="Y992" i="7" s="1"/>
  <c r="Y994" i="7" s="1"/>
  <c r="Y996" i="7" s="1"/>
  <c r="Y998" i="7" s="1"/>
  <c r="Y1005" i="7" s="1"/>
  <c r="Y1009" i="7" s="1"/>
  <c r="BJ63" i="23"/>
  <c r="BI34" i="23" s="1"/>
  <c r="G926" i="15"/>
  <c r="E595" i="7"/>
  <c r="Q953" i="15"/>
  <c r="E144" i="7"/>
  <c r="M941" i="7"/>
  <c r="M949" i="7" s="1"/>
  <c r="E655" i="15"/>
  <c r="AE964" i="15"/>
  <c r="AE965" i="15" s="1"/>
  <c r="AE977" i="15" s="1"/>
  <c r="AE979" i="15" s="1"/>
  <c r="AE981" i="15" s="1"/>
  <c r="AE983" i="15" s="1"/>
  <c r="AE990" i="15" s="1"/>
  <c r="AE994" i="15" s="1"/>
  <c r="AC964" i="15"/>
  <c r="AC965" i="15" s="1"/>
  <c r="AC361" i="7"/>
  <c r="AB959" i="7" s="1"/>
  <c r="AC960" i="7" s="1"/>
  <c r="AE941" i="7"/>
  <c r="U506" i="15"/>
  <c r="T952" i="15" s="1"/>
  <c r="U953" i="15" s="1"/>
  <c r="U955" i="15" s="1"/>
  <c r="Y964" i="15"/>
  <c r="Y965" i="15" s="1"/>
  <c r="K506" i="15"/>
  <c r="J952" i="15" s="1"/>
  <c r="K953" i="15" s="1"/>
  <c r="AA945" i="15"/>
  <c r="G739" i="5"/>
  <c r="F70" i="4" s="1"/>
  <c r="G665" i="5"/>
  <c r="F67" i="4" s="1"/>
  <c r="G465" i="5"/>
  <c r="F43" i="4" s="1"/>
  <c r="E250" i="5"/>
  <c r="D25" i="4" s="1"/>
  <c r="E573" i="5"/>
  <c r="G639" i="5"/>
  <c r="F66" i="4" s="1"/>
  <c r="E654" i="5"/>
  <c r="E665" i="5" s="1"/>
  <c r="D67" i="4" s="1"/>
  <c r="E563" i="5"/>
  <c r="G614" i="5"/>
  <c r="G621" i="5" s="1"/>
  <c r="F65" i="4" s="1"/>
  <c r="E76" i="8"/>
  <c r="E78" i="8" s="1"/>
  <c r="D78" i="8"/>
  <c r="D248" i="8"/>
  <c r="G360" i="5"/>
  <c r="F37" i="4" s="1"/>
  <c r="G73" i="5"/>
  <c r="G89" i="5" s="1"/>
  <c r="F10" i="4" s="1"/>
  <c r="G11" i="4" s="1"/>
  <c r="O989" i="7"/>
  <c r="O990" i="7" s="1"/>
  <c r="AG450" i="15"/>
  <c r="AF950" i="15" s="1"/>
  <c r="D950" i="15" s="1"/>
  <c r="O974" i="15"/>
  <c r="O975" i="15" s="1"/>
  <c r="O977" i="15" s="1"/>
  <c r="O979" i="15" s="1"/>
  <c r="O981" i="15" s="1"/>
  <c r="O983" i="15" s="1"/>
  <c r="O990" i="15" s="1"/>
  <c r="O994" i="15" s="1"/>
  <c r="N205" i="15" s="1"/>
  <c r="D205" i="15" s="1"/>
  <c r="E208" i="15" s="1"/>
  <c r="E211" i="15" s="1"/>
  <c r="I964" i="15"/>
  <c r="I965" i="15" s="1"/>
  <c r="G522" i="5"/>
  <c r="F45" i="4" s="1"/>
  <c r="G521" i="7"/>
  <c r="F967" i="7" s="1"/>
  <c r="G968" i="7" s="1"/>
  <c r="W968" i="7"/>
  <c r="E373" i="5"/>
  <c r="AE947" i="7"/>
  <c r="AE949" i="7" s="1"/>
  <c r="U934" i="15"/>
  <c r="E240" i="7"/>
  <c r="E250" i="7" s="1"/>
  <c r="D357" i="7"/>
  <c r="E358" i="7" s="1"/>
  <c r="E361" i="7" s="1"/>
  <c r="Y945" i="15"/>
  <c r="AE974" i="15"/>
  <c r="AE975" i="15" s="1"/>
  <c r="W945" i="15"/>
  <c r="I57" i="13"/>
  <c r="AA968" i="7"/>
  <c r="AA970" i="7" s="1"/>
  <c r="S941" i="7"/>
  <c r="S949" i="7" s="1"/>
  <c r="G941" i="7"/>
  <c r="S934" i="15"/>
  <c r="G143" i="5"/>
  <c r="F18" i="4" s="1"/>
  <c r="G19" i="4" s="1"/>
  <c r="E472" i="15"/>
  <c r="O926" i="15"/>
  <c r="G250" i="7"/>
  <c r="F947" i="7" s="1"/>
  <c r="D947" i="7" s="1"/>
  <c r="E829" i="15"/>
  <c r="D305" i="13"/>
  <c r="D339" i="13" s="1"/>
  <c r="AL66" i="23"/>
  <c r="E518" i="5"/>
  <c r="AI945" i="15"/>
  <c r="Q964" i="15"/>
  <c r="Q965" i="15" s="1"/>
  <c r="D342" i="15"/>
  <c r="E343" i="15" s="1"/>
  <c r="E346" i="15" s="1"/>
  <c r="F79" i="23"/>
  <c r="F80" i="23" s="1"/>
  <c r="AA953" i="15"/>
  <c r="D932" i="15"/>
  <c r="H106" i="23"/>
  <c r="U974" i="15"/>
  <c r="U975" i="15" s="1"/>
  <c r="U977" i="15" s="1"/>
  <c r="U979" i="15" s="1"/>
  <c r="U981" i="15" s="1"/>
  <c r="U983" i="15" s="1"/>
  <c r="U990" i="15" s="1"/>
  <c r="U994" i="15" s="1"/>
  <c r="D510" i="5"/>
  <c r="E511" i="5" s="1"/>
  <c r="D356" i="5"/>
  <c r="E357" i="5" s="1"/>
  <c r="E236" i="15"/>
  <c r="G361" i="7"/>
  <c r="F959" i="7" s="1"/>
  <c r="G960" i="7" s="1"/>
  <c r="E278" i="15"/>
  <c r="E289" i="15" s="1"/>
  <c r="D925" i="15"/>
  <c r="D406" i="13"/>
  <c r="M974" i="15"/>
  <c r="M975" i="15" s="1"/>
  <c r="M977" i="15" s="1"/>
  <c r="M979" i="15" s="1"/>
  <c r="M981" i="15" s="1"/>
  <c r="M983" i="15" s="1"/>
  <c r="M990" i="15" s="1"/>
  <c r="M994" i="15" s="1"/>
  <c r="I941" i="7"/>
  <c r="I949" i="7" s="1"/>
  <c r="Y968" i="7"/>
  <c r="Y970" i="7" s="1"/>
  <c r="G945" i="15"/>
  <c r="AI989" i="7"/>
  <c r="AI990" i="7" s="1"/>
  <c r="AA934" i="15"/>
  <c r="Y953" i="15"/>
  <c r="Y955" i="15" s="1"/>
  <c r="I974" i="15"/>
  <c r="I975" i="15" s="1"/>
  <c r="S945" i="15"/>
  <c r="S955" i="15" s="1"/>
  <c r="AI960" i="7"/>
  <c r="K960" i="7"/>
  <c r="E303" i="5"/>
  <c r="D35" i="4" s="1"/>
  <c r="AI949" i="7"/>
  <c r="E220" i="5"/>
  <c r="E222" i="5" s="1"/>
  <c r="D24" i="4" s="1"/>
  <c r="M945" i="15"/>
  <c r="M955" i="15" s="1"/>
  <c r="Q934" i="15"/>
  <c r="D963" i="15"/>
  <c r="E495" i="15"/>
  <c r="K945" i="15"/>
  <c r="K955" i="15" s="1"/>
  <c r="M34" i="23"/>
  <c r="CA34" i="23"/>
  <c r="E651" i="7"/>
  <c r="E652" i="7" s="1"/>
  <c r="D56" i="7"/>
  <c r="E58" i="7" s="1"/>
  <c r="D938" i="7"/>
  <c r="G575" i="5"/>
  <c r="F60" i="4" s="1"/>
  <c r="G60" i="4" s="1"/>
  <c r="G61" i="4" s="1"/>
  <c r="E220" i="7"/>
  <c r="E223" i="7" s="1"/>
  <c r="W941" i="7"/>
  <c r="W949" i="7" s="1"/>
  <c r="I934" i="15"/>
  <c r="G25" i="4"/>
  <c r="D979" i="7"/>
  <c r="AE953" i="15"/>
  <c r="D969" i="15"/>
  <c r="Y949" i="7"/>
  <c r="H107" i="23"/>
  <c r="D752" i="15"/>
  <c r="E756" i="15" s="1"/>
  <c r="E758" i="15" s="1"/>
  <c r="E450" i="15"/>
  <c r="E771" i="7"/>
  <c r="E773" i="7" s="1"/>
  <c r="G111" i="23"/>
  <c r="N83" i="23"/>
  <c r="AI979" i="7"/>
  <c r="AI980" i="7" s="1"/>
  <c r="S960" i="7"/>
  <c r="H123" i="23"/>
  <c r="CL63" i="23"/>
  <c r="BV111" i="23"/>
  <c r="E517" i="7"/>
  <c r="F56" i="23"/>
  <c r="H56" i="23" s="1"/>
  <c r="E789" i="5"/>
  <c r="S974" i="15"/>
  <c r="S975" i="15" s="1"/>
  <c r="E607" i="7"/>
  <c r="E374" i="7"/>
  <c r="D942" i="15"/>
  <c r="D67" i="5"/>
  <c r="D69" i="5" s="1"/>
  <c r="E71" i="5" s="1"/>
  <c r="AI934" i="15"/>
  <c r="G487" i="5"/>
  <c r="F44" i="4" s="1"/>
  <c r="G381" i="5"/>
  <c r="F38" i="4" s="1"/>
  <c r="K989" i="7"/>
  <c r="K990" i="7" s="1"/>
  <c r="Q974" i="15"/>
  <c r="Q975" i="15" s="1"/>
  <c r="D963" i="7"/>
  <c r="Q949" i="7"/>
  <c r="E672" i="7"/>
  <c r="E978" i="15"/>
  <c r="AG949" i="7"/>
  <c r="D951" i="15"/>
  <c r="O521" i="7"/>
  <c r="N967" i="7" s="1"/>
  <c r="O968" i="7" s="1"/>
  <c r="O970" i="7" s="1"/>
  <c r="AG945" i="15"/>
  <c r="AE945" i="15"/>
  <c r="M989" i="7"/>
  <c r="M990" i="7" s="1"/>
  <c r="M992" i="7" s="1"/>
  <c r="M994" i="7" s="1"/>
  <c r="M996" i="7" s="1"/>
  <c r="M998" i="7" s="1"/>
  <c r="M1005" i="7" s="1"/>
  <c r="M1009" i="7" s="1"/>
  <c r="E111" i="23"/>
  <c r="F105" i="23"/>
  <c r="D66" i="23"/>
  <c r="AA989" i="7"/>
  <c r="AA990" i="7" s="1"/>
  <c r="AA992" i="7" s="1"/>
  <c r="AA994" i="7" s="1"/>
  <c r="AA996" i="7" s="1"/>
  <c r="AA998" i="7" s="1"/>
  <c r="AA1005" i="7" s="1"/>
  <c r="AA1009" i="7" s="1"/>
  <c r="U949" i="7"/>
  <c r="K968" i="7"/>
  <c r="K974" i="15"/>
  <c r="K975" i="15" s="1"/>
  <c r="K977" i="15" s="1"/>
  <c r="K979" i="15" s="1"/>
  <c r="K981" i="15" s="1"/>
  <c r="K983" i="15" s="1"/>
  <c r="K990" i="15" s="1"/>
  <c r="K994" i="15" s="1"/>
  <c r="AE934" i="15"/>
  <c r="H72" i="23"/>
  <c r="S968" i="7"/>
  <c r="D965" i="7"/>
  <c r="AA949" i="7"/>
  <c r="D986" i="7"/>
  <c r="AC974" i="15"/>
  <c r="AC975" i="15" s="1"/>
  <c r="AG989" i="7"/>
  <c r="AG990" i="7" s="1"/>
  <c r="AG992" i="7" s="1"/>
  <c r="AG994" i="7" s="1"/>
  <c r="AG996" i="7" s="1"/>
  <c r="AG998" i="7" s="1"/>
  <c r="AG1005" i="7" s="1"/>
  <c r="AG1009" i="7" s="1"/>
  <c r="AG756" i="15"/>
  <c r="AG758" i="15" s="1"/>
  <c r="AF974" i="15" s="1"/>
  <c r="D974" i="15" s="1"/>
  <c r="D964" i="7"/>
  <c r="E687" i="7"/>
  <c r="D945" i="15"/>
  <c r="AI953" i="15"/>
  <c r="AI955" i="15" s="1"/>
  <c r="AI956" i="15" s="1"/>
  <c r="K979" i="7"/>
  <c r="K980" i="7" s="1"/>
  <c r="D359" i="15"/>
  <c r="E359" i="15" s="1"/>
  <c r="E367" i="15" s="1"/>
  <c r="R63" i="23"/>
  <c r="AV63" i="23"/>
  <c r="D985" i="7"/>
  <c r="M968" i="7"/>
  <c r="M970" i="7" s="1"/>
  <c r="AE989" i="7"/>
  <c r="AE990" i="7" s="1"/>
  <c r="AE992" i="7" s="1"/>
  <c r="AE994" i="7" s="1"/>
  <c r="AE996" i="7" s="1"/>
  <c r="AE998" i="7" s="1"/>
  <c r="AE1005" i="7" s="1"/>
  <c r="AE1009" i="7" s="1"/>
  <c r="E463" i="5"/>
  <c r="E123" i="7"/>
  <c r="E124" i="7" s="1"/>
  <c r="AC934" i="15"/>
  <c r="AI974" i="15"/>
  <c r="AI975" i="15" s="1"/>
  <c r="AI977" i="15" s="1"/>
  <c r="AI979" i="15" s="1"/>
  <c r="AI981" i="15" s="1"/>
  <c r="AI983" i="15" s="1"/>
  <c r="AI990" i="15" s="1"/>
  <c r="AI994" i="15" s="1"/>
  <c r="E657" i="15"/>
  <c r="AC989" i="7"/>
  <c r="AC990" i="7" s="1"/>
  <c r="AG358" i="7"/>
  <c r="AG361" i="7" s="1"/>
  <c r="AF959" i="7" s="1"/>
  <c r="AG960" i="7" s="1"/>
  <c r="E823" i="7"/>
  <c r="D960" i="7"/>
  <c r="W953" i="15"/>
  <c r="E614" i="5"/>
  <c r="E621" i="5" s="1"/>
  <c r="D65" i="4" s="1"/>
  <c r="AG968" i="7"/>
  <c r="Q968" i="7"/>
  <c r="Q970" i="7" s="1"/>
  <c r="D61" i="5"/>
  <c r="D63" i="5" s="1"/>
  <c r="E65" i="5" s="1"/>
  <c r="O941" i="7"/>
  <c r="O949" i="7" s="1"/>
  <c r="U979" i="7"/>
  <c r="U980" i="7" s="1"/>
  <c r="E683" i="15"/>
  <c r="E582" i="7"/>
  <c r="G303" i="5"/>
  <c r="F35" i="4" s="1"/>
  <c r="S989" i="7"/>
  <c r="S990" i="7" s="1"/>
  <c r="S992" i="7" s="1"/>
  <c r="S994" i="7" s="1"/>
  <c r="S996" i="7" s="1"/>
  <c r="S998" i="7" s="1"/>
  <c r="S1005" i="7" s="1"/>
  <c r="S1009" i="7" s="1"/>
  <c r="E549" i="5"/>
  <c r="E553" i="5" s="1"/>
  <c r="D59" i="4" s="1"/>
  <c r="D509" i="7"/>
  <c r="E510" i="7" s="1"/>
  <c r="Q989" i="7"/>
  <c r="Q990" i="7" s="1"/>
  <c r="Q992" i="7" s="1"/>
  <c r="Q994" i="7" s="1"/>
  <c r="Q996" i="7" s="1"/>
  <c r="Q998" i="7" s="1"/>
  <c r="Q1005" i="7" s="1"/>
  <c r="Q1009" i="7" s="1"/>
  <c r="E456" i="5"/>
  <c r="E465" i="5" s="1"/>
  <c r="D43" i="4" s="1"/>
  <c r="W960" i="7"/>
  <c r="D971" i="15"/>
  <c r="I953" i="15"/>
  <c r="AE960" i="7"/>
  <c r="D122" i="5"/>
  <c r="E123" i="5" s="1"/>
  <c r="E124" i="5" s="1"/>
  <c r="D16" i="4" s="1"/>
  <c r="Y974" i="15"/>
  <c r="Y975" i="15" s="1"/>
  <c r="AC945" i="15"/>
  <c r="AC955" i="15" s="1"/>
  <c r="Q945" i="15"/>
  <c r="Q955" i="15" s="1"/>
  <c r="O953" i="15"/>
  <c r="O955" i="15" s="1"/>
  <c r="G98" i="23"/>
  <c r="D940" i="7"/>
  <c r="AC979" i="7"/>
  <c r="AC980" i="7" s="1"/>
  <c r="AE521" i="7"/>
  <c r="AD967" i="7" s="1"/>
  <c r="AE968" i="7" s="1"/>
  <c r="K941" i="7"/>
  <c r="K949" i="7" s="1"/>
  <c r="W964" i="15"/>
  <c r="W965" i="15" s="1"/>
  <c r="W977" i="15" s="1"/>
  <c r="W979" i="15" s="1"/>
  <c r="W981" i="15" s="1"/>
  <c r="W983" i="15" s="1"/>
  <c r="W990" i="15" s="1"/>
  <c r="W994" i="15" s="1"/>
  <c r="E291" i="8"/>
  <c r="C291" i="8"/>
  <c r="E629" i="8"/>
  <c r="D20" i="8"/>
  <c r="D44" i="8" s="1"/>
  <c r="G953" i="15"/>
  <c r="AF66" i="23"/>
  <c r="AE34" i="23"/>
  <c r="CN66" i="23"/>
  <c r="CM34" i="23"/>
  <c r="AA974" i="15"/>
  <c r="AA975" i="15" s="1"/>
  <c r="AA977" i="15" s="1"/>
  <c r="AA979" i="15" s="1"/>
  <c r="AA981" i="15" s="1"/>
  <c r="AA983" i="15" s="1"/>
  <c r="AA990" i="15" s="1"/>
  <c r="AA994" i="15" s="1"/>
  <c r="D944" i="15"/>
  <c r="G974" i="15"/>
  <c r="G975" i="15" s="1"/>
  <c r="G977" i="15" s="1"/>
  <c r="G979" i="15" s="1"/>
  <c r="G981" i="15" s="1"/>
  <c r="G983" i="15" s="1"/>
  <c r="G990" i="15" s="1"/>
  <c r="AI968" i="7"/>
  <c r="AI970" i="7" s="1"/>
  <c r="AR66" i="23"/>
  <c r="AQ34" i="23"/>
  <c r="O992" i="7"/>
  <c r="O994" i="7" s="1"/>
  <c r="O996" i="7" s="1"/>
  <c r="O998" i="7" s="1"/>
  <c r="O1005" i="7" s="1"/>
  <c r="O1009" i="7" s="1"/>
  <c r="AD63" i="23"/>
  <c r="E639" i="5"/>
  <c r="D66" i="4" s="1"/>
  <c r="E407" i="7"/>
  <c r="D984" i="7"/>
  <c r="G989" i="7"/>
  <c r="G990" i="7" s="1"/>
  <c r="G992" i="7" s="1"/>
  <c r="G994" i="7" s="1"/>
  <c r="G996" i="7" s="1"/>
  <c r="G998" i="7" s="1"/>
  <c r="G1005" i="7" s="1"/>
  <c r="G1009" i="7" s="1"/>
  <c r="D75" i="7" s="1"/>
  <c r="D946" i="7"/>
  <c r="I968" i="7"/>
  <c r="I970" i="7" s="1"/>
  <c r="E380" i="7"/>
  <c r="E382" i="7" s="1"/>
  <c r="T66" i="23"/>
  <c r="S34" i="23"/>
  <c r="E424" i="8"/>
  <c r="E426" i="8" s="1"/>
  <c r="D426" i="8"/>
  <c r="BC34" i="23"/>
  <c r="D966" i="7"/>
  <c r="D369" i="13"/>
  <c r="D371" i="13" s="1"/>
  <c r="Y934" i="15"/>
  <c r="CT66" i="23"/>
  <c r="CS34" i="23"/>
  <c r="D49" i="5"/>
  <c r="D51" i="5" s="1"/>
  <c r="E53" i="5" s="1"/>
  <c r="D50" i="7"/>
  <c r="E52" i="7" s="1"/>
  <c r="D970" i="15"/>
  <c r="AL81" i="23"/>
  <c r="Z66" i="23"/>
  <c r="Y34" i="23"/>
  <c r="E379" i="5"/>
  <c r="D477" i="5"/>
  <c r="E479" i="5" s="1"/>
  <c r="E487" i="5" s="1"/>
  <c r="D44" i="4" s="1"/>
  <c r="E479" i="7"/>
  <c r="E487" i="7" s="1"/>
  <c r="K932" i="15"/>
  <c r="K934" i="15" s="1"/>
  <c r="I989" i="7"/>
  <c r="I990" i="7" s="1"/>
  <c r="I992" i="7" s="1"/>
  <c r="I994" i="7" s="1"/>
  <c r="I996" i="7" s="1"/>
  <c r="I998" i="7" s="1"/>
  <c r="I1005" i="7" s="1"/>
  <c r="I1009" i="7" s="1"/>
  <c r="E698" i="7"/>
  <c r="D964" i="15"/>
  <c r="E964" i="15" s="1"/>
  <c r="E965" i="15" s="1"/>
  <c r="H78" i="23"/>
  <c r="CG34" i="23"/>
  <c r="CH66" i="23"/>
  <c r="BV66" i="23"/>
  <c r="BU34" i="23"/>
  <c r="H39" i="23"/>
  <c r="G31" i="23"/>
  <c r="E844" i="7"/>
  <c r="E407" i="5"/>
  <c r="D41" i="4" s="1"/>
  <c r="AK34" i="23"/>
  <c r="N81" i="23"/>
  <c r="N65" i="23"/>
  <c r="BV81" i="23"/>
  <c r="BV83" i="23" s="1"/>
  <c r="G79" i="23"/>
  <c r="G80" i="23" s="1"/>
  <c r="BP66" i="23"/>
  <c r="BO34" i="23"/>
  <c r="AX63" i="23"/>
  <c r="D63" i="23"/>
  <c r="C31" i="23"/>
  <c r="BJ66" i="23"/>
  <c r="E810" i="5"/>
  <c r="E74" i="4" s="1"/>
  <c r="G789" i="5"/>
  <c r="AC949" i="7"/>
  <c r="D531" i="7"/>
  <c r="E532" i="7" s="1"/>
  <c r="E534" i="7" s="1"/>
  <c r="D530" i="5"/>
  <c r="D532" i="5" s="1"/>
  <c r="E533" i="5" s="1"/>
  <c r="E535" i="5" s="1"/>
  <c r="D46" i="4" s="1"/>
  <c r="E143" i="5"/>
  <c r="D18" i="4" s="1"/>
  <c r="E637" i="15"/>
  <c r="G72" i="7"/>
  <c r="G88" i="7" s="1"/>
  <c r="D957" i="7"/>
  <c r="D75" i="5"/>
  <c r="I945" i="15"/>
  <c r="D978" i="7"/>
  <c r="AA955" i="15"/>
  <c r="D923" i="15"/>
  <c r="W955" i="15" l="1"/>
  <c r="M956" i="15"/>
  <c r="S977" i="15"/>
  <c r="S979" i="15" s="1"/>
  <c r="S981" i="15" s="1"/>
  <c r="S983" i="15" s="1"/>
  <c r="S990" i="15" s="1"/>
  <c r="S994" i="15" s="1"/>
  <c r="D417" i="8"/>
  <c r="E414" i="8"/>
  <c r="E417" i="8" s="1"/>
  <c r="F24" i="28"/>
  <c r="E64" i="28"/>
  <c r="E66" i="28" s="1"/>
  <c r="F54" i="28"/>
  <c r="F42" i="28"/>
  <c r="F44" i="28" s="1"/>
  <c r="D27" i="28"/>
  <c r="F27" i="28" s="1"/>
  <c r="D30" i="28"/>
  <c r="E17" i="28"/>
  <c r="F17" i="28" s="1"/>
  <c r="E19" i="28"/>
  <c r="F19" i="28" s="1"/>
  <c r="E16" i="28"/>
  <c r="F16" i="28" s="1"/>
  <c r="E21" i="28"/>
  <c r="F21" i="28" s="1"/>
  <c r="D54" i="28"/>
  <c r="F62" i="28"/>
  <c r="E29" i="28"/>
  <c r="F29" i="28" s="1"/>
  <c r="E32" i="28"/>
  <c r="F32" i="28" s="1"/>
  <c r="E28" i="28"/>
  <c r="F28" i="28" s="1"/>
  <c r="G46" i="4"/>
  <c r="E360" i="5"/>
  <c r="D37" i="4" s="1"/>
  <c r="E25" i="4"/>
  <c r="S956" i="15"/>
  <c r="E575" i="5"/>
  <c r="D60" i="4" s="1"/>
  <c r="E60" i="4" s="1"/>
  <c r="E61" i="4" s="1"/>
  <c r="E328" i="8"/>
  <c r="D989" i="7"/>
  <c r="E521" i="7"/>
  <c r="AG970" i="7"/>
  <c r="AG971" i="7" s="1"/>
  <c r="AC956" i="15"/>
  <c r="K992" i="7"/>
  <c r="K994" i="7" s="1"/>
  <c r="K996" i="7" s="1"/>
  <c r="K998" i="7" s="1"/>
  <c r="K1005" i="7" s="1"/>
  <c r="K1009" i="7" s="1"/>
  <c r="D959" i="7"/>
  <c r="O208" i="15"/>
  <c r="O211" i="15" s="1"/>
  <c r="N931" i="15" s="1"/>
  <c r="O932" i="15" s="1"/>
  <c r="O934" i="15" s="1"/>
  <c r="O956" i="15" s="1"/>
  <c r="E506" i="15"/>
  <c r="G70" i="4"/>
  <c r="G71" i="4" s="1"/>
  <c r="G73" i="4" s="1"/>
  <c r="G75" i="4" s="1"/>
  <c r="G77" i="4" s="1"/>
  <c r="G83" i="4" s="1"/>
  <c r="G87" i="4" s="1"/>
  <c r="G947" i="7"/>
  <c r="K956" i="15"/>
  <c r="E381" i="5"/>
  <c r="D38" i="4" s="1"/>
  <c r="E38" i="4" s="1"/>
  <c r="D952" i="15"/>
  <c r="E953" i="15" s="1"/>
  <c r="Y977" i="15"/>
  <c r="Y979" i="15" s="1"/>
  <c r="Y981" i="15" s="1"/>
  <c r="Y983" i="15" s="1"/>
  <c r="Y990" i="15" s="1"/>
  <c r="Y994" i="15" s="1"/>
  <c r="U992" i="7"/>
  <c r="U994" i="7" s="1"/>
  <c r="U996" i="7" s="1"/>
  <c r="U998" i="7" s="1"/>
  <c r="U1005" i="7" s="1"/>
  <c r="U1009" i="7" s="1"/>
  <c r="Q977" i="15"/>
  <c r="Q979" i="15" s="1"/>
  <c r="Q981" i="15" s="1"/>
  <c r="Q983" i="15" s="1"/>
  <c r="Q990" i="15" s="1"/>
  <c r="Q994" i="15" s="1"/>
  <c r="U956" i="15"/>
  <c r="K970" i="7"/>
  <c r="K971" i="7" s="1"/>
  <c r="AA956" i="15"/>
  <c r="E947" i="7"/>
  <c r="W970" i="7"/>
  <c r="W971" i="7" s="1"/>
  <c r="AC977" i="15"/>
  <c r="AC979" i="15" s="1"/>
  <c r="AC981" i="15" s="1"/>
  <c r="AC983" i="15" s="1"/>
  <c r="AC990" i="15" s="1"/>
  <c r="AC994" i="15" s="1"/>
  <c r="Y971" i="7"/>
  <c r="I977" i="15"/>
  <c r="I979" i="15" s="1"/>
  <c r="I981" i="15" s="1"/>
  <c r="I983" i="15" s="1"/>
  <c r="I990" i="15" s="1"/>
  <c r="I994" i="15" s="1"/>
  <c r="AI992" i="7"/>
  <c r="AI994" i="7" s="1"/>
  <c r="AI996" i="7" s="1"/>
  <c r="AI998" i="7" s="1"/>
  <c r="AI1005" i="7" s="1"/>
  <c r="AI1009" i="7" s="1"/>
  <c r="G38" i="4"/>
  <c r="E522" i="5"/>
  <c r="D45" i="4" s="1"/>
  <c r="E46" i="4" s="1"/>
  <c r="E72" i="7"/>
  <c r="E248" i="8"/>
  <c r="H63" i="23"/>
  <c r="G34" i="23" s="1"/>
  <c r="F63" i="23"/>
  <c r="D967" i="7"/>
  <c r="E968" i="7" s="1"/>
  <c r="G955" i="15"/>
  <c r="E941" i="7"/>
  <c r="Q956" i="15"/>
  <c r="AE970" i="7"/>
  <c r="AE971" i="7" s="1"/>
  <c r="Q971" i="7"/>
  <c r="M971" i="7"/>
  <c r="S970" i="7"/>
  <c r="S971" i="7" s="1"/>
  <c r="AA971" i="7"/>
  <c r="AG953" i="15"/>
  <c r="AG955" i="15" s="1"/>
  <c r="AG956" i="15" s="1"/>
  <c r="AE955" i="15"/>
  <c r="AE956" i="15" s="1"/>
  <c r="E926" i="15"/>
  <c r="I955" i="15"/>
  <c r="I956" i="15" s="1"/>
  <c r="G27" i="4"/>
  <c r="I971" i="7"/>
  <c r="O971" i="7"/>
  <c r="E945" i="15"/>
  <c r="U971" i="7"/>
  <c r="G970" i="7"/>
  <c r="I6" i="20" s="1"/>
  <c r="E979" i="7"/>
  <c r="E980" i="7" s="1"/>
  <c r="Y956" i="15"/>
  <c r="W956" i="15"/>
  <c r="AC992" i="7"/>
  <c r="AC994" i="7" s="1"/>
  <c r="AC996" i="7" s="1"/>
  <c r="AC998" i="7" s="1"/>
  <c r="AC1005" i="7" s="1"/>
  <c r="AC1009" i="7" s="1"/>
  <c r="E974" i="15"/>
  <c r="E975" i="15" s="1"/>
  <c r="E977" i="15" s="1"/>
  <c r="E979" i="15" s="1"/>
  <c r="E981" i="15" s="1"/>
  <c r="E983" i="15" s="1"/>
  <c r="E990" i="15" s="1"/>
  <c r="E994" i="15" s="1"/>
  <c r="E989" i="7"/>
  <c r="E990" i="7" s="1"/>
  <c r="H105" i="23"/>
  <c r="H111" i="23" s="1"/>
  <c r="F111" i="23"/>
  <c r="AG974" i="15"/>
  <c r="AG975" i="15" s="1"/>
  <c r="AG977" i="15" s="1"/>
  <c r="AG979" i="15" s="1"/>
  <c r="AG981" i="15" s="1"/>
  <c r="AG983" i="15" s="1"/>
  <c r="AG990" i="15" s="1"/>
  <c r="AG994" i="15" s="1"/>
  <c r="AC971" i="7"/>
  <c r="E73" i="5"/>
  <c r="D76" i="5"/>
  <c r="D79" i="5" s="1"/>
  <c r="E87" i="5" s="1"/>
  <c r="D78" i="7"/>
  <c r="E86" i="7" s="1"/>
  <c r="I7" i="20"/>
  <c r="AI971" i="7"/>
  <c r="E19" i="4"/>
  <c r="H79" i="23"/>
  <c r="H80" i="23" s="1"/>
  <c r="D69" i="15"/>
  <c r="D70" i="15" s="1"/>
  <c r="E77" i="15" s="1"/>
  <c r="G994" i="15"/>
  <c r="E960" i="7"/>
  <c r="E970" i="7" s="1"/>
  <c r="AW34" i="23"/>
  <c r="AX66" i="23"/>
  <c r="E70" i="4"/>
  <c r="E71" i="4" s="1"/>
  <c r="D34" i="28" l="1"/>
  <c r="F22" i="28"/>
  <c r="E22" i="28"/>
  <c r="E30" i="28"/>
  <c r="F30" i="28" s="1"/>
  <c r="E73" i="4"/>
  <c r="E75" i="4" s="1"/>
  <c r="E77" i="4" s="1"/>
  <c r="E83" i="4" s="1"/>
  <c r="E87" i="4" s="1"/>
  <c r="G51" i="4"/>
  <c r="G48" i="4"/>
  <c r="I8" i="20"/>
  <c r="D931" i="15"/>
  <c r="E932" i="15" s="1"/>
  <c r="E992" i="7"/>
  <c r="E994" i="7" s="1"/>
  <c r="E996" i="7" s="1"/>
  <c r="E998" i="7" s="1"/>
  <c r="E1005" i="7" s="1"/>
  <c r="E1009" i="7" s="1"/>
  <c r="E955" i="15"/>
  <c r="F932" i="7"/>
  <c r="D932" i="7" s="1"/>
  <c r="E933" i="7" s="1"/>
  <c r="E949" i="7" s="1"/>
  <c r="E971" i="7" s="1"/>
  <c r="E89" i="5"/>
  <c r="D10" i="4" s="1"/>
  <c r="E11" i="4" s="1"/>
  <c r="E27" i="4" s="1"/>
  <c r="F1006" i="15"/>
  <c r="E997" i="15"/>
  <c r="E88" i="7"/>
  <c r="G90" i="4"/>
  <c r="G91" i="4"/>
  <c r="E48" i="4"/>
  <c r="E998" i="15"/>
  <c r="E90" i="4"/>
  <c r="E91" i="4"/>
  <c r="H81" i="23"/>
  <c r="F917" i="15"/>
  <c r="E79" i="15"/>
  <c r="D36" i="28" l="1"/>
  <c r="E34" i="28"/>
  <c r="E36" i="28" s="1"/>
  <c r="F1018" i="7"/>
  <c r="G933" i="7"/>
  <c r="G949" i="7" s="1"/>
  <c r="G971" i="7" s="1"/>
  <c r="E51" i="4"/>
  <c r="D917" i="15"/>
  <c r="E918" i="15" s="1"/>
  <c r="E934" i="15" s="1"/>
  <c r="E956" i="15" s="1"/>
  <c r="G918" i="15"/>
  <c r="G934" i="15" s="1"/>
  <c r="G956" i="15" s="1"/>
  <c r="E1013" i="7"/>
  <c r="E1012" i="7"/>
  <c r="F1021" i="7"/>
  <c r="F34" i="28" l="1"/>
  <c r="F36" i="28" s="1"/>
  <c r="A66" i="8"/>
  <c r="C17" i="28" l="1"/>
  <c r="A82" i="8"/>
  <c r="C18" i="28" l="1"/>
  <c r="A155" i="8"/>
  <c r="A169" i="8" l="1"/>
  <c r="C19" i="28"/>
  <c r="C20" i="28" l="1"/>
  <c r="A178" i="8"/>
  <c r="A256" i="8" l="1"/>
  <c r="C21" i="28"/>
  <c r="A271" i="8" l="1"/>
  <c r="C24" i="28"/>
  <c r="A293" i="8" l="1"/>
  <c r="C27" i="28"/>
  <c r="C28" i="28" l="1"/>
  <c r="A317" i="8"/>
  <c r="A332" i="8" l="1"/>
  <c r="C29" i="28"/>
  <c r="C30" i="28" l="1"/>
  <c r="C32" i="28" l="1"/>
  <c r="A430" i="8"/>
  <c r="H21" i="30"/>
  <c r="D21" i="30"/>
  <c r="Q21" i="30"/>
  <c r="C33" i="28" l="1"/>
  <c r="D66" i="28"/>
  <c r="F66" i="28"/>
  <c r="E657" i="8"/>
  <c r="E666" i="8"/>
  <c r="D64" i="28"/>
  <c r="C657" i="8"/>
  <c r="C666" i="8"/>
  <c r="D59" i="28"/>
  <c r="F59" i="28"/>
  <c r="F64" i="28"/>
</calcChain>
</file>

<file path=xl/sharedStrings.xml><?xml version="1.0" encoding="utf-8"?>
<sst xmlns="http://schemas.openxmlformats.org/spreadsheetml/2006/main" count="6486" uniqueCount="1724">
  <si>
    <r>
      <t>24.  </t>
    </r>
    <r>
      <rPr>
        <sz val="8"/>
        <rFont val="Verdana"/>
        <family val="2"/>
      </rPr>
      <t xml:space="preserve">As per Accounting Standard – 27 – ‘Financial reporting of interest in Joint Ventures’ issued by the Institute of Chartered Accountants of India, the Company’s share of ownership interest, assets, liabilities, income, expenses, contingent liabilities </t>
    </r>
  </si>
  <si>
    <r>
      <t xml:space="preserve">27.    </t>
    </r>
    <r>
      <rPr>
        <sz val="8"/>
        <rFont val="Verdana"/>
        <family val="2"/>
      </rPr>
      <t>Income tax of Rs. ______million (P.Y. Rs.______million) consists of Rs.______million (PY Rs. ______million) paid to Income Tax Department against the disputed demands of Rs.______million (P.Y. Rs. ______ millions) for various assessment years and a</t>
    </r>
  </si>
  <si>
    <r>
      <t xml:space="preserve">29.   </t>
    </r>
    <r>
      <rPr>
        <sz val="8"/>
        <rFont val="Verdana"/>
        <family val="2"/>
      </rPr>
      <t>Loans &amp; Advances include Rs.______million (P.Y.Rs.______million) being the amount deposited with the High Court in respect of a case which is still pending. Necessary liability towards principal amount already exists and the provision, if any, towar</t>
    </r>
  </si>
  <si>
    <r>
      <t xml:space="preserve">31  </t>
    </r>
    <r>
      <rPr>
        <sz val="8"/>
        <rFont val="Verdana"/>
        <family val="2"/>
      </rPr>
      <t>Letters have been issued to parties for confirmation of balances with the request to confirm or send comment by the stipulated date failing which balance as indicated in the letter would be taken as confirmed. Confirmation letters have been received i</t>
    </r>
  </si>
  <si>
    <t>b) Stock received/issued in kind</t>
  </si>
  <si>
    <r>
      <t xml:space="preserve">32. </t>
    </r>
    <r>
      <rPr>
        <sz val="8"/>
        <rFont val="Verdana"/>
        <family val="2"/>
      </rPr>
      <t>Compliance of the Companies (Accounting Standard) Rules 2006 has been made. The Company has large number of transactions and diversified activities, which may have put operational constraints in strictly following the said rules.  The deviation if any</t>
    </r>
  </si>
  <si>
    <t xml:space="preserve">Opening Balance </t>
  </si>
  <si>
    <t xml:space="preserve">Closing Balance </t>
  </si>
  <si>
    <t>The Company has one class of share capital, comprising ordinary shares of Rupee 1/- each. Subject to the Company’s Articles of Association and applicable law, the Company’s ordinary shares confer on the holder: the right to receive notice of and vote at g</t>
  </si>
  <si>
    <r>
      <t xml:space="preserve">(b)  Residential flats includes 41 shares (P.Y. 41 shares)  of  Cooperative Group Housing Society of the value  of </t>
    </r>
    <r>
      <rPr>
        <sz val="8"/>
        <rFont val="Rupee Foradian"/>
        <family val="2"/>
      </rPr>
      <t>`</t>
    </r>
    <r>
      <rPr>
        <sz val="8"/>
        <rFont val="Verdana"/>
        <family val="2"/>
      </rPr>
      <t xml:space="preserve"> _____ million (PY </t>
    </r>
    <r>
      <rPr>
        <sz val="8"/>
        <rFont val="Rupee Foradian"/>
        <family val="2"/>
      </rPr>
      <t>`</t>
    </r>
    <r>
      <rPr>
        <sz val="8"/>
        <rFont val="Verdana"/>
        <family val="2"/>
      </rPr>
      <t xml:space="preserve"> _____ million).Conveyance of some of the flats of the original value as on 31.03.2011 amounting to </t>
    </r>
    <r>
      <rPr>
        <sz val="8"/>
        <rFont val="Rupee Foradian"/>
        <family val="2"/>
      </rPr>
      <t>`</t>
    </r>
    <r>
      <rPr>
        <sz val="8"/>
        <rFont val="Verdana"/>
        <family val="2"/>
      </rPr>
      <t xml:space="preserve"> _____million (P.Y</t>
    </r>
  </si>
  <si>
    <r>
      <t xml:space="preserve">(e)  Cost of residential building, roads &amp; culverts and electrical installations amounting to </t>
    </r>
    <r>
      <rPr>
        <sz val="8"/>
        <rFont val="Rupee Foradian"/>
        <family val="2"/>
      </rPr>
      <t>`_______</t>
    </r>
    <r>
      <rPr>
        <sz val="8"/>
        <rFont val="Verdana"/>
        <family val="2"/>
      </rPr>
      <t xml:space="preserve">million &amp; accumulated depreciation of </t>
    </r>
    <r>
      <rPr>
        <sz val="8"/>
        <rFont val="Rupee Foradian"/>
        <family val="2"/>
      </rPr>
      <t>`_______</t>
    </r>
    <r>
      <rPr>
        <sz val="8"/>
        <rFont val="Verdana"/>
        <family val="2"/>
      </rPr>
      <t>miilion constructed on the leasehold land at Paradip which expired on________. Paradip Port Trust has appro</t>
    </r>
  </si>
  <si>
    <r>
      <t>b)</t>
    </r>
    <r>
      <rPr>
        <sz val="8"/>
        <rFont val="Times New Roman"/>
        <family val="1"/>
      </rPr>
      <t xml:space="preserve">    </t>
    </r>
    <r>
      <rPr>
        <sz val="8"/>
        <rFont val="Verdana"/>
        <family val="2"/>
      </rPr>
      <t xml:space="preserve">Corporate Guarantees of Rs. ______million (P.Y. Rs. ______ million) given by the company in favour of financial institutions/banks on behalf of Neelachal Ispat Nigam Limited (NINL) for securing principal and interest in respect of loans to NINL. As </t>
    </r>
  </si>
  <si>
    <r>
      <t>i)</t>
    </r>
    <r>
      <rPr>
        <sz val="8"/>
        <rFont val="Times New Roman"/>
        <family val="1"/>
      </rPr>
      <t xml:space="preserve">    </t>
    </r>
    <r>
      <rPr>
        <sz val="8"/>
        <rFont val="Verdana"/>
        <family val="2"/>
      </rPr>
      <t>Additional liability, if any, on account of sales tax demands on completion of assessments, disputed claims of some employees, non-deduction of Provident Fund by Handling Agents/Contractors, disputed rent and interest/penalty/legal costs etc., in re</t>
    </r>
  </si>
  <si>
    <t xml:space="preserve">   - Amount payable towards unbilled purchases</t>
  </si>
  <si>
    <t xml:space="preserve">   - Gold/Silver stock towards unbilled purchases</t>
  </si>
  <si>
    <r>
      <t xml:space="preserve">(c) </t>
    </r>
    <r>
      <rPr>
        <sz val="8"/>
        <rFont val="Times New Roman"/>
        <family val="1"/>
      </rPr>
      <t> </t>
    </r>
    <r>
      <rPr>
        <sz val="8"/>
        <rFont val="Verdana"/>
        <family val="2"/>
      </rPr>
      <t xml:space="preserve">Payments under Employees’ Family Benefit Scheme is payable to the dependants of the employee who dies in service till the notional date of superannuation. A monthly benefit @ 40% of Basic Pay &amp; DA last drawn subject to a maximum of </t>
    </r>
    <r>
      <rPr>
        <sz val="8"/>
        <rFont val="Rupee Foradian"/>
        <family val="2"/>
      </rPr>
      <t xml:space="preserve">` </t>
    </r>
    <r>
      <rPr>
        <sz val="8"/>
        <rFont val="Verdana"/>
        <family val="2"/>
      </rPr>
      <t>12000/-  on rend</t>
    </r>
  </si>
  <si>
    <r>
      <t xml:space="preserve">33.  </t>
    </r>
    <r>
      <rPr>
        <sz val="8"/>
        <rFont val="Verdana"/>
        <family val="2"/>
      </rPr>
      <t>The company has availed exemption from disclosing information for those goods which form less than ten percent of the total value of turnover, purchase, consumption of raw material etc.  under paragraphs 3(i)(a), 3(ii)(a) and 3(ii)(b) of Part-II of S</t>
    </r>
  </si>
  <si>
    <t>CORPORATE OFFICE</t>
  </si>
  <si>
    <t>BANGALORE</t>
  </si>
  <si>
    <t>AHMEDABAD</t>
  </si>
  <si>
    <t>HYDERABAD</t>
  </si>
  <si>
    <t>BELLARY</t>
  </si>
  <si>
    <t>MUMBAI</t>
  </si>
  <si>
    <t>GOA</t>
  </si>
  <si>
    <t>BHUBANESWAR</t>
  </si>
  <si>
    <t>KOLKATA</t>
  </si>
  <si>
    <t>JAIPUR</t>
  </si>
  <si>
    <t>VIZAG</t>
  </si>
  <si>
    <t>DRO</t>
  </si>
  <si>
    <t>JHANDEWALAN</t>
  </si>
  <si>
    <t>CHENNAI</t>
  </si>
  <si>
    <t>MICA</t>
  </si>
  <si>
    <r>
      <t xml:space="preserve">(c)  Cost of Office Building on lands not owned by the Corporation is </t>
    </r>
    <r>
      <rPr>
        <sz val="8"/>
        <rFont val="Rupee Foradian"/>
        <family val="2"/>
      </rPr>
      <t>`</t>
    </r>
    <r>
      <rPr>
        <sz val="8"/>
        <rFont val="Verdana"/>
        <family val="2"/>
      </rPr>
      <t xml:space="preserve">.____ million (P.Y. </t>
    </r>
    <r>
      <rPr>
        <sz val="8"/>
        <rFont val="Rupee Foradian"/>
        <family val="2"/>
      </rPr>
      <t>`</t>
    </r>
    <r>
      <rPr>
        <sz val="8"/>
        <rFont val="Verdana"/>
        <family val="2"/>
      </rPr>
      <t xml:space="preserve">._____ million) and provision for depreciation is </t>
    </r>
    <r>
      <rPr>
        <sz val="8"/>
        <rFont val="Rupee Foradian"/>
        <family val="2"/>
      </rPr>
      <t>` ____</t>
    </r>
    <r>
      <rPr>
        <sz val="8"/>
        <rFont val="Verdana"/>
        <family val="2"/>
      </rPr>
      <t xml:space="preserve"> million(P.Y. </t>
    </r>
    <r>
      <rPr>
        <sz val="8"/>
        <rFont val="Rupee Foradian"/>
        <family val="2"/>
      </rPr>
      <t>`</t>
    </r>
    <r>
      <rPr>
        <sz val="8"/>
        <rFont val="Verdana"/>
        <family val="2"/>
      </rPr>
      <t xml:space="preserve">._____ million) </t>
    </r>
  </si>
  <si>
    <t>Trade Payable</t>
  </si>
  <si>
    <t xml:space="preserve">      As at            01-04-2011</t>
  </si>
  <si>
    <t xml:space="preserve">     As at        31-03-2012</t>
  </si>
  <si>
    <r>
      <t xml:space="preserve">(d)  Cost of Water Supply on Land not owned by the Corp. is </t>
    </r>
    <r>
      <rPr>
        <sz val="8"/>
        <rFont val="Rupee Foradian"/>
        <family val="2"/>
      </rPr>
      <t>`</t>
    </r>
    <r>
      <rPr>
        <sz val="8"/>
        <rFont val="Verdana"/>
        <family val="2"/>
      </rPr>
      <t xml:space="preserve"> ____ million.       (P.Y.  </t>
    </r>
    <r>
      <rPr>
        <sz val="8"/>
        <rFont val="Rupee Foradian"/>
        <family val="2"/>
      </rPr>
      <t>` ______</t>
    </r>
    <r>
      <rPr>
        <sz val="8"/>
        <rFont val="Verdana"/>
        <family val="2"/>
      </rPr>
      <t xml:space="preserve"> million). </t>
    </r>
  </si>
  <si>
    <r>
      <t>6.1.2</t>
    </r>
    <r>
      <rPr>
        <b/>
        <sz val="8"/>
        <rFont val="Times New Roman"/>
        <family val="1"/>
      </rPr>
      <t>  </t>
    </r>
    <r>
      <rPr>
        <b/>
        <sz val="8"/>
        <rFont val="Verdana"/>
        <family val="2"/>
      </rPr>
      <t>Intangible Assets</t>
    </r>
  </si>
  <si>
    <t>Gross</t>
  </si>
  <si>
    <t>Additions through Business Combinations</t>
  </si>
  <si>
    <t>Other adjustments</t>
  </si>
  <si>
    <t xml:space="preserve">Computer software </t>
  </si>
  <si>
    <t>Amortisation</t>
  </si>
  <si>
    <t>Amortisation for the year</t>
  </si>
  <si>
    <t>Impairment / (reversal of impairment)</t>
  </si>
  <si>
    <t>Balance as at 31-03-2012</t>
  </si>
  <si>
    <t>Opening balance as at 01-04-2011</t>
  </si>
  <si>
    <t>Net Carrying Value</t>
  </si>
  <si>
    <r>
      <t xml:space="preserve">6.1.3    </t>
    </r>
    <r>
      <rPr>
        <b/>
        <sz val="8"/>
        <rFont val="Verdana"/>
        <family val="2"/>
      </rPr>
      <t>Capital work-in-progress</t>
    </r>
  </si>
  <si>
    <r>
      <t>6.1.4</t>
    </r>
    <r>
      <rPr>
        <sz val="8"/>
        <rFont val="Verdana"/>
        <family val="2"/>
      </rPr>
      <t xml:space="preserve">   </t>
    </r>
    <r>
      <rPr>
        <b/>
        <sz val="8"/>
        <rFont val="Verdana"/>
        <family val="2"/>
      </rPr>
      <t>Intangible Assets under Development</t>
    </r>
  </si>
  <si>
    <t>6.2  NON CURRENT INVESTMENTS</t>
  </si>
  <si>
    <t>Bandra Kurla Complex</t>
  </si>
  <si>
    <t>(Fully paid_______ equity shares of Rs.____/- each (P.Y. Fully paid ____ equity shares of Rs.___/- each))</t>
  </si>
  <si>
    <t>(Fully paid ______ equity shares of Rs.____/- each (P.Y. Fully paid ______ equity shares of Rs.___/- each))</t>
  </si>
  <si>
    <t xml:space="preserve">(Fully paid______equity shares of Rs.__/- each (P.Y. Fully paid ________ equity shares of Rs.___/- each)) </t>
  </si>
  <si>
    <t xml:space="preserve">(Fully paid_________ equity shares of Rs.__/- each (P.Y. Fully paid _______ equity shares of Rs.__/- each)) </t>
  </si>
  <si>
    <t>9% Government Stock 2013</t>
  </si>
  <si>
    <t>D. Others</t>
  </si>
  <si>
    <t>Advance against equity pending allotment</t>
  </si>
  <si>
    <t>II.  OTHER INVESTMENTS</t>
  </si>
  <si>
    <r>
      <t>a)</t>
    </r>
    <r>
      <rPr>
        <b/>
        <sz val="8"/>
        <rFont val="Times New Roman"/>
        <family val="1"/>
      </rPr>
      <t xml:space="preserve">   </t>
    </r>
    <r>
      <rPr>
        <b/>
        <sz val="8"/>
        <rFont val="Verdana"/>
        <family val="2"/>
      </rPr>
      <t>Subsidiaries</t>
    </r>
  </si>
  <si>
    <r>
      <t>b)</t>
    </r>
    <r>
      <rPr>
        <b/>
        <sz val="8"/>
        <rFont val="Times New Roman"/>
        <family val="1"/>
      </rPr>
      <t xml:space="preserve">   </t>
    </r>
    <r>
      <rPr>
        <b/>
        <sz val="8"/>
        <rFont val="Verdana"/>
        <family val="2"/>
      </rPr>
      <t>Associates</t>
    </r>
  </si>
  <si>
    <r>
      <t>c)</t>
    </r>
    <r>
      <rPr>
        <b/>
        <sz val="8"/>
        <rFont val="Times New Roman"/>
        <family val="1"/>
      </rPr>
      <t xml:space="preserve">    </t>
    </r>
    <r>
      <rPr>
        <b/>
        <sz val="8"/>
        <rFont val="Verdana"/>
        <family val="2"/>
      </rPr>
      <t>Joint Ventures</t>
    </r>
  </si>
  <si>
    <r>
      <t>A.</t>
    </r>
    <r>
      <rPr>
        <b/>
        <sz val="8"/>
        <rFont val="Times New Roman"/>
        <family val="1"/>
      </rPr>
      <t xml:space="preserve">   </t>
    </r>
    <r>
      <rPr>
        <b/>
        <sz val="8"/>
        <rFont val="Verdana"/>
        <family val="2"/>
      </rPr>
      <t>Investment Property</t>
    </r>
  </si>
  <si>
    <r>
      <t>B.</t>
    </r>
    <r>
      <rPr>
        <b/>
        <sz val="8"/>
        <rFont val="Times New Roman"/>
        <family val="1"/>
      </rPr>
      <t xml:space="preserve">   </t>
    </r>
    <r>
      <rPr>
        <b/>
        <sz val="8"/>
        <rFont val="Verdana"/>
        <family val="2"/>
      </rPr>
      <t>Investment in Equity instrument</t>
    </r>
  </si>
  <si>
    <r>
      <t>I.</t>
    </r>
    <r>
      <rPr>
        <b/>
        <sz val="8"/>
        <rFont val="Times New Roman"/>
        <family val="1"/>
      </rPr>
      <t> </t>
    </r>
    <r>
      <rPr>
        <b/>
        <sz val="8"/>
        <rFont val="Verdana"/>
        <family val="2"/>
      </rPr>
      <t>TRADE INVESTMENTS</t>
    </r>
  </si>
  <si>
    <r>
      <t xml:space="preserve">      </t>
    </r>
    <r>
      <rPr>
        <b/>
        <sz val="8"/>
        <rFont val="Verdana"/>
        <family val="2"/>
      </rPr>
      <t>i.</t>
    </r>
    <r>
      <rPr>
        <b/>
        <sz val="8"/>
        <rFont val="Times New Roman"/>
        <family val="1"/>
      </rPr>
      <t xml:space="preserve">   </t>
    </r>
    <r>
      <rPr>
        <b/>
        <sz val="8"/>
        <rFont val="Verdana"/>
        <family val="2"/>
      </rPr>
      <t xml:space="preserve">Indo French Biotech Limited </t>
    </r>
  </si>
  <si>
    <r>
      <t xml:space="preserve">   </t>
    </r>
    <r>
      <rPr>
        <b/>
        <sz val="8"/>
        <rFont val="Verdana"/>
        <family val="2"/>
      </rPr>
      <t>iii.</t>
    </r>
    <r>
      <rPr>
        <b/>
        <sz val="8"/>
        <rFont val="Times New Roman"/>
        <family val="1"/>
      </rPr>
      <t xml:space="preserve">   </t>
    </r>
    <r>
      <rPr>
        <b/>
        <sz val="8"/>
        <rFont val="Verdana"/>
        <family val="2"/>
      </rPr>
      <t xml:space="preserve">Free Trade Ware- housing Pvt. Ltd. </t>
    </r>
  </si>
  <si>
    <r>
      <t xml:space="preserve"> </t>
    </r>
    <r>
      <rPr>
        <b/>
        <sz val="8"/>
        <rFont val="Verdana"/>
        <family val="2"/>
      </rPr>
      <t>iv.</t>
    </r>
    <r>
      <rPr>
        <b/>
        <sz val="8"/>
        <rFont val="Times New Roman"/>
        <family val="1"/>
      </rPr>
      <t xml:space="preserve">   </t>
    </r>
    <r>
      <rPr>
        <b/>
        <sz val="8"/>
        <rFont val="Verdana"/>
        <family val="2"/>
      </rPr>
      <t>MMTC Pamp India Pvt. Ltd.</t>
    </r>
  </si>
  <si>
    <r>
      <t xml:space="preserve">   </t>
    </r>
    <r>
      <rPr>
        <b/>
        <sz val="8"/>
        <rFont val="Verdana"/>
        <family val="2"/>
      </rPr>
      <t>v.</t>
    </r>
    <r>
      <rPr>
        <b/>
        <sz val="8"/>
        <rFont val="Times New Roman"/>
        <family val="1"/>
      </rPr>
      <t xml:space="preserve">   </t>
    </r>
    <r>
      <rPr>
        <b/>
        <sz val="8"/>
        <rFont val="Verdana"/>
        <family val="2"/>
      </rPr>
      <t>SICAL Iron Ore Terminal Limited</t>
    </r>
  </si>
  <si>
    <r>
      <t xml:space="preserve"> </t>
    </r>
    <r>
      <rPr>
        <b/>
        <sz val="8"/>
        <rFont val="Verdana"/>
        <family val="2"/>
      </rPr>
      <t>vi.</t>
    </r>
    <r>
      <rPr>
        <b/>
        <sz val="8"/>
        <rFont val="Times New Roman"/>
        <family val="1"/>
      </rPr>
      <t xml:space="preserve">   </t>
    </r>
    <r>
      <rPr>
        <b/>
        <sz val="8"/>
        <rFont val="Verdana"/>
        <family val="2"/>
      </rPr>
      <t>MMTC Gitanjali Pvt Limited</t>
    </r>
  </si>
  <si>
    <r>
      <t>vii.</t>
    </r>
    <r>
      <rPr>
        <b/>
        <sz val="8"/>
        <rFont val="Times New Roman"/>
        <family val="1"/>
      </rPr>
      <t xml:space="preserve">   </t>
    </r>
    <r>
      <rPr>
        <b/>
        <sz val="8"/>
        <rFont val="Verdana"/>
        <family val="2"/>
      </rPr>
      <t>United Stock Exchange Limited</t>
    </r>
  </si>
  <si>
    <r>
      <t>viii.</t>
    </r>
    <r>
      <rPr>
        <b/>
        <sz val="8"/>
        <rFont val="Times New Roman"/>
        <family val="1"/>
      </rPr>
      <t xml:space="preserve">   </t>
    </r>
    <r>
      <rPr>
        <b/>
        <sz val="8"/>
        <rFont val="Verdana"/>
        <family val="2"/>
      </rPr>
      <t>Indian Commodity Exchange Limited</t>
    </r>
  </si>
  <si>
    <r>
      <t>C.</t>
    </r>
    <r>
      <rPr>
        <b/>
        <sz val="8"/>
        <rFont val="Times New Roman"/>
        <family val="1"/>
      </rPr>
      <t xml:space="preserve">   </t>
    </r>
    <r>
      <rPr>
        <b/>
        <sz val="8"/>
        <rFont val="Verdana"/>
        <family val="2"/>
      </rPr>
      <t>Investment in Government and trust securities</t>
    </r>
  </si>
  <si>
    <r>
      <t>6.3</t>
    </r>
    <r>
      <rPr>
        <b/>
        <sz val="8"/>
        <rFont val="Times New Roman"/>
        <family val="1"/>
      </rPr>
      <t> </t>
    </r>
    <r>
      <rPr>
        <b/>
        <sz val="8"/>
        <rFont val="Verdana"/>
        <family val="2"/>
      </rPr>
      <t>DEFERRED TAX ASSETS (NET)</t>
    </r>
    <r>
      <rPr>
        <sz val="8"/>
        <rFont val="Verdana"/>
        <family val="2"/>
      </rPr>
      <t xml:space="preserve">                                                                                             </t>
    </r>
  </si>
  <si>
    <r>
      <t>The deferred tax liability as at 31</t>
    </r>
    <r>
      <rPr>
        <vertAlign val="superscript"/>
        <sz val="8"/>
        <rFont val="Verdana"/>
        <family val="2"/>
      </rPr>
      <t>st</t>
    </r>
    <r>
      <rPr>
        <sz val="8"/>
        <rFont val="Verdana"/>
        <family val="2"/>
      </rPr>
      <t xml:space="preserve"> March 2012 comprises of the following:</t>
    </r>
  </si>
  <si>
    <r>
      <t xml:space="preserve">        (</t>
    </r>
    <r>
      <rPr>
        <sz val="8"/>
        <rFont val="Rupee Foradian"/>
        <family val="2"/>
      </rPr>
      <t>`</t>
    </r>
    <r>
      <rPr>
        <sz val="8"/>
        <rFont val="Verdana"/>
        <family val="2"/>
      </rPr>
      <t xml:space="preserve"> in million)</t>
    </r>
  </si>
  <si>
    <t>Particulars</t>
  </si>
  <si>
    <t>Depreciation</t>
  </si>
  <si>
    <t>DWA Risk</t>
  </si>
  <si>
    <t>VRS Expenses</t>
  </si>
  <si>
    <t>Interest received from IT Deptt.</t>
  </si>
  <si>
    <t>Deferred Tax Asset/ (Liability) as at 1.4.2011</t>
  </si>
  <si>
    <t>Credit / (Charge) during      2011-12</t>
  </si>
  <si>
    <t>Deferred Tax asset / (Liability) as at 31.3.2012</t>
  </si>
  <si>
    <t>6.4 LONG TERM LOANS AND ADVANCES</t>
  </si>
  <si>
    <t>I. Secured, considered good</t>
  </si>
  <si>
    <t>II. Unsecured,  considered good</t>
  </si>
  <si>
    <t>III. Doubtful</t>
  </si>
  <si>
    <t xml:space="preserve">   Sub-total</t>
  </si>
  <si>
    <t>Reversals of provisions</t>
  </si>
  <si>
    <t>Diminution in value of investment property</t>
  </si>
  <si>
    <t>Less: Provision for bad and doubtful advances</t>
  </si>
  <si>
    <t>Sub-total</t>
  </si>
  <si>
    <r>
      <t>A.</t>
    </r>
    <r>
      <rPr>
        <b/>
        <sz val="8"/>
        <rFont val="Times New Roman"/>
        <family val="1"/>
      </rPr>
      <t xml:space="preserve">    </t>
    </r>
    <r>
      <rPr>
        <b/>
        <sz val="8"/>
        <rFont val="Verdana"/>
        <family val="2"/>
      </rPr>
      <t>CAPITAL ADVANCES</t>
    </r>
  </si>
  <si>
    <r>
      <t>B.</t>
    </r>
    <r>
      <rPr>
        <b/>
        <sz val="8"/>
        <rFont val="Times New Roman"/>
        <family val="1"/>
      </rPr>
      <t xml:space="preserve">    </t>
    </r>
    <r>
      <rPr>
        <b/>
        <sz val="8"/>
        <rFont val="Verdana"/>
        <family val="2"/>
      </rPr>
      <t>SECURITY DEPOSITS</t>
    </r>
  </si>
  <si>
    <r>
      <t xml:space="preserve">     </t>
    </r>
    <r>
      <rPr>
        <sz val="8"/>
        <rFont val="Verdana"/>
        <family val="2"/>
      </rPr>
      <t>I.</t>
    </r>
    <r>
      <rPr>
        <sz val="8"/>
        <rFont val="Times New Roman"/>
        <family val="1"/>
      </rPr>
      <t xml:space="preserve">   </t>
    </r>
    <r>
      <rPr>
        <sz val="8"/>
        <rFont val="Verdana"/>
        <family val="2"/>
      </rPr>
      <t>Secured, considered good</t>
    </r>
  </si>
  <si>
    <r>
      <t xml:space="preserve">  </t>
    </r>
    <r>
      <rPr>
        <sz val="8"/>
        <rFont val="Verdana"/>
        <family val="2"/>
      </rPr>
      <t>II.</t>
    </r>
    <r>
      <rPr>
        <sz val="8"/>
        <rFont val="Times New Roman"/>
        <family val="1"/>
      </rPr>
      <t xml:space="preserve">   </t>
    </r>
    <r>
      <rPr>
        <sz val="8"/>
        <rFont val="Verdana"/>
        <family val="2"/>
      </rPr>
      <t>Unsecured, considered good</t>
    </r>
  </si>
  <si>
    <r>
      <t>III.</t>
    </r>
    <r>
      <rPr>
        <sz val="8"/>
        <rFont val="Times New Roman"/>
        <family val="1"/>
      </rPr>
      <t xml:space="preserve">   </t>
    </r>
    <r>
      <rPr>
        <sz val="8"/>
        <rFont val="Verdana"/>
        <family val="2"/>
      </rPr>
      <t>Doubtful</t>
    </r>
  </si>
  <si>
    <r>
      <t>ix.</t>
    </r>
    <r>
      <rPr>
        <b/>
        <sz val="8"/>
        <rFont val="Times New Roman"/>
        <family val="1"/>
      </rPr>
      <t xml:space="preserve">   TM Mining Company </t>
    </r>
    <r>
      <rPr>
        <b/>
        <sz val="8"/>
        <rFont val="Verdana"/>
        <family val="2"/>
      </rPr>
      <t>Limited</t>
    </r>
  </si>
  <si>
    <t xml:space="preserve">   x.    Others</t>
  </si>
  <si>
    <t>C.   LOAN AND ADVANCES TO RELATED PARTIES</t>
  </si>
  <si>
    <r>
      <t>D.</t>
    </r>
    <r>
      <rPr>
        <b/>
        <sz val="8"/>
        <rFont val="Times New Roman"/>
        <family val="1"/>
      </rPr>
      <t xml:space="preserve">    </t>
    </r>
    <r>
      <rPr>
        <b/>
        <sz val="8"/>
        <rFont val="Verdana"/>
        <family val="2"/>
      </rPr>
      <t>OTHER LOANS AND ADVANCES</t>
    </r>
  </si>
  <si>
    <r>
      <t>6.5</t>
    </r>
    <r>
      <rPr>
        <b/>
        <sz val="8"/>
        <rFont val="Times New Roman"/>
        <family val="1"/>
      </rPr>
      <t xml:space="preserve">    </t>
    </r>
    <r>
      <rPr>
        <b/>
        <sz val="8"/>
        <rFont val="Verdana"/>
        <family val="2"/>
      </rPr>
      <t>OTHER NON-CURRENT ASSETS</t>
    </r>
  </si>
  <si>
    <r>
      <t>7  </t>
    </r>
    <r>
      <rPr>
        <b/>
        <sz val="8"/>
        <rFont val="Verdana"/>
        <family val="2"/>
      </rPr>
      <t xml:space="preserve">CURRENT ASSETS </t>
    </r>
  </si>
  <si>
    <r>
      <t>7.1</t>
    </r>
    <r>
      <rPr>
        <b/>
        <sz val="8"/>
        <rFont val="Times New Roman"/>
        <family val="1"/>
      </rPr>
      <t>  </t>
    </r>
    <r>
      <rPr>
        <b/>
        <sz val="8"/>
        <rFont val="Verdana"/>
        <family val="2"/>
      </rPr>
      <t>CURRENT INVESTMENTS</t>
    </r>
  </si>
  <si>
    <r>
      <t>A.</t>
    </r>
    <r>
      <rPr>
        <b/>
        <sz val="8"/>
        <rFont val="Times New Roman"/>
        <family val="1"/>
      </rPr>
      <t xml:space="preserve">   </t>
    </r>
    <r>
      <rPr>
        <b/>
        <sz val="8"/>
        <rFont val="Verdana"/>
        <family val="2"/>
      </rPr>
      <t>Investment in Equity instrument</t>
    </r>
  </si>
  <si>
    <r>
      <t xml:space="preserve">    </t>
    </r>
    <r>
      <rPr>
        <sz val="8"/>
        <rFont val="Verdana"/>
        <family val="2"/>
      </rPr>
      <t>i.</t>
    </r>
    <r>
      <rPr>
        <sz val="8"/>
        <rFont val="Times New Roman"/>
        <family val="1"/>
      </rPr>
      <t xml:space="preserve">    </t>
    </r>
    <r>
      <rPr>
        <sz val="8"/>
        <rFont val="Verdana"/>
        <family val="2"/>
      </rPr>
      <t>Subsidiaries</t>
    </r>
  </si>
  <si>
    <r>
      <t xml:space="preserve">  </t>
    </r>
    <r>
      <rPr>
        <sz val="8"/>
        <rFont val="Verdana"/>
        <family val="2"/>
      </rPr>
      <t>ii.</t>
    </r>
    <r>
      <rPr>
        <sz val="8"/>
        <rFont val="Times New Roman"/>
        <family val="1"/>
      </rPr>
      <t xml:space="preserve">    </t>
    </r>
    <r>
      <rPr>
        <sz val="8"/>
        <rFont val="Verdana"/>
        <family val="2"/>
      </rPr>
      <t>Associates</t>
    </r>
  </si>
  <si>
    <r>
      <t xml:space="preserve"> </t>
    </r>
    <r>
      <rPr>
        <sz val="8"/>
        <rFont val="Verdana"/>
        <family val="2"/>
      </rPr>
      <t>iii.</t>
    </r>
    <r>
      <rPr>
        <sz val="8"/>
        <rFont val="Times New Roman"/>
        <family val="1"/>
      </rPr>
      <t xml:space="preserve">    </t>
    </r>
    <r>
      <rPr>
        <sz val="8"/>
        <rFont val="Verdana"/>
        <family val="2"/>
      </rPr>
      <t>Joint Ventures</t>
    </r>
  </si>
  <si>
    <r>
      <t>iv.</t>
    </r>
    <r>
      <rPr>
        <sz val="8"/>
        <rFont val="Times New Roman"/>
        <family val="1"/>
      </rPr>
      <t xml:space="preserve">    </t>
    </r>
    <r>
      <rPr>
        <sz val="8"/>
        <rFont val="Verdana"/>
        <family val="2"/>
      </rPr>
      <t>Controlled special purpose entities</t>
    </r>
  </si>
  <si>
    <r>
      <t>B.</t>
    </r>
    <r>
      <rPr>
        <b/>
        <sz val="8"/>
        <rFont val="Times New Roman"/>
        <family val="1"/>
      </rPr>
      <t xml:space="preserve">    </t>
    </r>
    <r>
      <rPr>
        <b/>
        <sz val="8"/>
        <rFont val="Verdana"/>
        <family val="2"/>
      </rPr>
      <t>Investment in Government or trust securities</t>
    </r>
  </si>
  <si>
    <r>
      <t>C.</t>
    </r>
    <r>
      <rPr>
        <b/>
        <sz val="8"/>
        <rFont val="Times New Roman"/>
        <family val="1"/>
      </rPr>
      <t xml:space="preserve">    </t>
    </r>
    <r>
      <rPr>
        <b/>
        <sz val="8"/>
        <rFont val="Verdana"/>
        <family val="2"/>
      </rPr>
      <t>Others</t>
    </r>
  </si>
  <si>
    <t>7.2  INVENTORIES</t>
  </si>
  <si>
    <t>(includes goods in transit valued at Rs.      million (last year Rs.            million))</t>
  </si>
  <si>
    <r>
      <t>A.</t>
    </r>
    <r>
      <rPr>
        <sz val="8"/>
        <rFont val="Times New Roman"/>
        <family val="1"/>
      </rPr>
      <t xml:space="preserve">    </t>
    </r>
    <r>
      <rPr>
        <sz val="8"/>
        <rFont val="Verdana"/>
        <family val="2"/>
      </rPr>
      <t>Raw materials</t>
    </r>
  </si>
  <si>
    <r>
      <t>B.</t>
    </r>
    <r>
      <rPr>
        <sz val="8"/>
        <rFont val="Times New Roman"/>
        <family val="1"/>
      </rPr>
      <t xml:space="preserve">    </t>
    </r>
    <r>
      <rPr>
        <sz val="8"/>
        <rFont val="Verdana"/>
        <family val="2"/>
      </rPr>
      <t>Work-in-progress</t>
    </r>
  </si>
  <si>
    <r>
      <t>C.</t>
    </r>
    <r>
      <rPr>
        <sz val="8"/>
        <rFont val="Times New Roman"/>
        <family val="1"/>
      </rPr>
      <t xml:space="preserve">    </t>
    </r>
    <r>
      <rPr>
        <sz val="8"/>
        <rFont val="Verdana"/>
        <family val="2"/>
      </rPr>
      <t>Finished goods</t>
    </r>
  </si>
  <si>
    <r>
      <t>D.</t>
    </r>
    <r>
      <rPr>
        <sz val="8"/>
        <rFont val="Times New Roman"/>
        <family val="1"/>
      </rPr>
      <t xml:space="preserve">    </t>
    </r>
    <r>
      <rPr>
        <sz val="8"/>
        <rFont val="Verdana"/>
        <family val="2"/>
      </rPr>
      <t xml:space="preserve">Stock-in-trade </t>
    </r>
  </si>
  <si>
    <r>
      <t>E.</t>
    </r>
    <r>
      <rPr>
        <sz val="8"/>
        <rFont val="Times New Roman"/>
        <family val="1"/>
      </rPr>
      <t xml:space="preserve">     </t>
    </r>
    <r>
      <rPr>
        <sz val="8"/>
        <rFont val="Verdana"/>
        <family val="2"/>
      </rPr>
      <t>Stores and spares</t>
    </r>
  </si>
  <si>
    <r>
      <t>F.</t>
    </r>
    <r>
      <rPr>
        <sz val="8"/>
        <rFont val="Times New Roman"/>
        <family val="1"/>
      </rPr>
      <t xml:space="preserve">     </t>
    </r>
    <r>
      <rPr>
        <sz val="8"/>
        <rFont val="Verdana"/>
        <family val="2"/>
      </rPr>
      <t>Loose tools</t>
    </r>
  </si>
  <si>
    <r>
      <t>G.</t>
    </r>
    <r>
      <rPr>
        <sz val="8"/>
        <rFont val="Times New Roman"/>
        <family val="1"/>
      </rPr>
      <t xml:space="preserve">   </t>
    </r>
    <r>
      <rPr>
        <sz val="8"/>
        <rFont val="Verdana"/>
        <family val="2"/>
      </rPr>
      <t>Packing Materials</t>
    </r>
  </si>
  <si>
    <r>
      <t>H.</t>
    </r>
    <r>
      <rPr>
        <sz val="8"/>
        <rFont val="Times New Roman"/>
        <family val="1"/>
      </rPr>
      <t xml:space="preserve">    </t>
    </r>
    <r>
      <rPr>
        <sz val="8"/>
        <rFont val="Verdana"/>
        <family val="2"/>
      </rPr>
      <t>Others (specify nature).</t>
    </r>
  </si>
  <si>
    <t>As taken, valued and certified by the management</t>
  </si>
  <si>
    <t xml:space="preserve">Valuation of closing stock at market price being lower than cost, has resulted in a loss of Rs.   million (P.Y Rs.  million) during the year. </t>
  </si>
  <si>
    <t>Inventory excludes the following goods since the same has been held by the Company on consignment basis.</t>
  </si>
  <si>
    <r>
      <t>Inventories including goods in transit are valued at lower of the cost or realizable value as on 31</t>
    </r>
    <r>
      <rPr>
        <vertAlign val="superscript"/>
        <sz val="8"/>
        <rFont val="Verdana"/>
        <family val="2"/>
      </rPr>
      <t>st</t>
    </r>
    <r>
      <rPr>
        <sz val="8"/>
        <rFont val="Verdana"/>
        <family val="2"/>
      </rPr>
      <t xml:space="preserve"> March.</t>
    </r>
  </si>
  <si>
    <t>Items</t>
  </si>
  <si>
    <t>Qty.(kgs)</t>
  </si>
  <si>
    <t>Value</t>
  </si>
  <si>
    <t>Gold</t>
  </si>
  <si>
    <t>Gold Jewellery</t>
  </si>
  <si>
    <t>Silver</t>
  </si>
  <si>
    <r>
      <t>7.3</t>
    </r>
    <r>
      <rPr>
        <b/>
        <sz val="8"/>
        <rFont val="Times New Roman"/>
        <family val="1"/>
      </rPr>
      <t>    </t>
    </r>
    <r>
      <rPr>
        <b/>
        <sz val="8"/>
        <rFont val="Verdana"/>
        <family val="2"/>
      </rPr>
      <t xml:space="preserve">TRADE RECEIVABLES </t>
    </r>
  </si>
  <si>
    <t>Less: Provision for bad and doubtful debts</t>
  </si>
  <si>
    <t xml:space="preserve">Less: Provision for bad and doubtful debts </t>
  </si>
  <si>
    <r>
      <t>A.</t>
    </r>
    <r>
      <rPr>
        <b/>
        <sz val="8"/>
        <rFont val="Times New Roman"/>
        <family val="1"/>
      </rPr>
      <t xml:space="preserve">   </t>
    </r>
    <r>
      <rPr>
        <b/>
        <sz val="8"/>
        <rFont val="Verdana"/>
        <family val="2"/>
      </rPr>
      <t xml:space="preserve">Trade Receivables Outstanding for a period exceeding six months from the date they are due for payment </t>
    </r>
  </si>
  <si>
    <r>
      <t>B.</t>
    </r>
    <r>
      <rPr>
        <b/>
        <sz val="8"/>
        <rFont val="Times New Roman"/>
        <family val="1"/>
      </rPr>
      <t xml:space="preserve">   </t>
    </r>
    <r>
      <rPr>
        <b/>
        <sz val="8"/>
        <rFont val="Verdana"/>
        <family val="2"/>
      </rPr>
      <t>Other Trade Receivables</t>
    </r>
  </si>
  <si>
    <r>
      <t>a.</t>
    </r>
    <r>
      <rPr>
        <sz val="8"/>
        <rFont val="Times New Roman"/>
        <family val="1"/>
      </rPr>
      <t xml:space="preserve">     </t>
    </r>
    <r>
      <rPr>
        <sz val="8"/>
        <rFont val="Verdana"/>
        <family val="2"/>
      </rPr>
      <t>Cash and cash equivalents</t>
    </r>
  </si>
  <si>
    <r>
      <t>(a)</t>
    </r>
    <r>
      <rPr>
        <sz val="8"/>
        <rFont val="Times New Roman"/>
        <family val="1"/>
      </rPr>
      <t xml:space="preserve"> </t>
    </r>
    <r>
      <rPr>
        <sz val="8"/>
        <rFont val="Verdana"/>
        <family val="2"/>
      </rPr>
      <t>in Current Account</t>
    </r>
  </si>
  <si>
    <r>
      <t>(b)</t>
    </r>
    <r>
      <rPr>
        <sz val="8"/>
        <rFont val="Times New Roman"/>
        <family val="1"/>
      </rPr>
      <t xml:space="preserve"> </t>
    </r>
    <r>
      <rPr>
        <sz val="8"/>
        <rFont val="Verdana"/>
        <family val="2"/>
      </rPr>
      <t>in Cash Credit Account</t>
    </r>
  </si>
  <si>
    <r>
      <t>(c)</t>
    </r>
    <r>
      <rPr>
        <sz val="8"/>
        <rFont val="Times New Roman"/>
        <family val="1"/>
      </rPr>
      <t xml:space="preserve"> </t>
    </r>
    <r>
      <rPr>
        <sz val="8"/>
        <rFont val="Verdana"/>
        <family val="2"/>
      </rPr>
      <t xml:space="preserve"> in Term Deposits with original maturity upto 3 months</t>
    </r>
  </si>
  <si>
    <r>
      <t>(</t>
    </r>
    <r>
      <rPr>
        <b/>
        <sz val="10"/>
        <rFont val="Rupee Foradian"/>
        <family val="2"/>
      </rPr>
      <t>`</t>
    </r>
    <r>
      <rPr>
        <b/>
        <sz val="10"/>
        <rFont val="Verdana"/>
        <family val="2"/>
      </rPr>
      <t xml:space="preserve"> in million)</t>
    </r>
  </si>
  <si>
    <r>
      <t>A.</t>
    </r>
    <r>
      <rPr>
        <b/>
        <sz val="8"/>
        <rFont val="Times New Roman"/>
        <family val="1"/>
      </rPr>
      <t xml:space="preserve">     </t>
    </r>
    <r>
      <rPr>
        <b/>
        <sz val="8"/>
        <rFont val="Verdana"/>
        <family val="2"/>
      </rPr>
      <t>Loans repayable on demand</t>
    </r>
  </si>
  <si>
    <t>(i) Secured ( against hypothecation of inventories , trade receivables and other current assets present and future)</t>
  </si>
  <si>
    <t>(ii) Unsecured</t>
  </si>
  <si>
    <r>
      <t>Opening Balance as on 1</t>
    </r>
    <r>
      <rPr>
        <vertAlign val="superscript"/>
        <sz val="8"/>
        <rFont val="Verdana"/>
        <family val="2"/>
      </rPr>
      <t>st</t>
    </r>
    <r>
      <rPr>
        <sz val="8"/>
        <rFont val="Verdana"/>
        <family val="2"/>
      </rPr>
      <t xml:space="preserve"> April 2011</t>
    </r>
  </si>
  <si>
    <r>
      <t>Closing Balance as 31</t>
    </r>
    <r>
      <rPr>
        <vertAlign val="superscript"/>
        <sz val="8"/>
        <rFont val="Verdana"/>
        <family val="2"/>
      </rPr>
      <t>st</t>
    </r>
    <r>
      <rPr>
        <sz val="8"/>
        <rFont val="Verdana"/>
        <family val="2"/>
      </rPr>
      <t xml:space="preserve"> March 2012</t>
    </r>
  </si>
  <si>
    <r>
      <t>a.</t>
    </r>
    <r>
      <rPr>
        <sz val="8"/>
        <rFont val="Times New Roman"/>
        <family val="1"/>
      </rPr>
      <t xml:space="preserve">    </t>
    </r>
    <r>
      <rPr>
        <sz val="8"/>
        <rFont val="Verdana"/>
        <family val="2"/>
      </rPr>
      <t>Interest accrued but not due on borrowings</t>
    </r>
  </si>
  <si>
    <r>
      <t>b.</t>
    </r>
    <r>
      <rPr>
        <sz val="8"/>
        <rFont val="Times New Roman"/>
        <family val="1"/>
      </rPr>
      <t>    </t>
    </r>
    <r>
      <rPr>
        <sz val="8"/>
        <rFont val="Verdana"/>
        <family val="2"/>
      </rPr>
      <t>Interest accrued and due on borrowings</t>
    </r>
  </si>
  <si>
    <r>
      <t>c.</t>
    </r>
    <r>
      <rPr>
        <sz val="8"/>
        <rFont val="Times New Roman"/>
        <family val="1"/>
      </rPr>
      <t xml:space="preserve">    </t>
    </r>
    <r>
      <rPr>
        <sz val="8"/>
        <rFont val="Verdana"/>
        <family val="2"/>
      </rPr>
      <t>Income received in advance</t>
    </r>
  </si>
  <si>
    <t xml:space="preserve">  -Sales tax/CST/Custom duty</t>
  </si>
  <si>
    <t xml:space="preserve">  -Others</t>
  </si>
  <si>
    <r>
      <t>d.</t>
    </r>
    <r>
      <rPr>
        <sz val="8"/>
        <rFont val="Times New Roman"/>
        <family val="1"/>
      </rPr>
      <t>   </t>
    </r>
    <r>
      <rPr>
        <sz val="8"/>
        <rFont val="Verdana"/>
        <family val="2"/>
      </rPr>
      <t>Other payables (specify nature)</t>
    </r>
  </si>
  <si>
    <r>
      <rPr>
        <sz val="8"/>
        <rFont val="Verdana"/>
        <family val="2"/>
      </rPr>
      <t>v.</t>
    </r>
    <r>
      <rPr>
        <sz val="8"/>
        <rFont val="Times New Roman"/>
        <family val="1"/>
      </rPr>
      <t xml:space="preserve">   </t>
    </r>
    <r>
      <rPr>
        <sz val="8"/>
        <rFont val="Verdana"/>
        <family val="2"/>
      </rPr>
      <t>Gratuity</t>
    </r>
  </si>
  <si>
    <r>
      <rPr>
        <sz val="8"/>
        <rFont val="Verdana"/>
        <family val="2"/>
      </rPr>
      <t>vi.</t>
    </r>
    <r>
      <rPr>
        <sz val="8"/>
        <rFont val="Times New Roman"/>
        <family val="1"/>
      </rPr>
      <t xml:space="preserve">   </t>
    </r>
    <r>
      <rPr>
        <sz val="8"/>
        <rFont val="Verdana"/>
        <family val="2"/>
      </rPr>
      <t>Superannuation Benefits</t>
    </r>
  </si>
  <si>
    <r>
      <t>vii.</t>
    </r>
    <r>
      <rPr>
        <sz val="8"/>
        <rFont val="Times New Roman"/>
        <family val="1"/>
      </rPr>
      <t xml:space="preserve">   </t>
    </r>
    <r>
      <rPr>
        <sz val="8"/>
        <rFont val="Verdana"/>
        <family val="2"/>
      </rPr>
      <t>Service Award</t>
    </r>
  </si>
  <si>
    <r>
      <t>viii.</t>
    </r>
    <r>
      <rPr>
        <sz val="8"/>
        <rFont val="Times New Roman"/>
        <family val="1"/>
      </rPr>
      <t xml:space="preserve">   </t>
    </r>
    <r>
      <rPr>
        <sz val="8"/>
        <rFont val="Verdana"/>
        <family val="2"/>
      </rPr>
      <t>Compassionate Gratuity</t>
    </r>
  </si>
  <si>
    <r>
      <rPr>
        <sz val="8"/>
        <rFont val="Verdana"/>
        <family val="2"/>
      </rPr>
      <t>ix.</t>
    </r>
    <r>
      <rPr>
        <sz val="8"/>
        <rFont val="Times New Roman"/>
        <family val="1"/>
      </rPr>
      <t xml:space="preserve">   </t>
    </r>
    <r>
      <rPr>
        <sz val="8"/>
        <rFont val="Verdana"/>
        <family val="2"/>
      </rPr>
      <t>Employees’ Family Benefit Scheme</t>
    </r>
  </si>
  <si>
    <r>
      <rPr>
        <sz val="8"/>
        <rFont val="Verdana"/>
        <family val="2"/>
      </rPr>
      <t>i.</t>
    </r>
    <r>
      <rPr>
        <sz val="8"/>
        <rFont val="Times New Roman"/>
        <family val="1"/>
      </rPr>
      <t xml:space="preserve">   </t>
    </r>
    <r>
      <rPr>
        <sz val="8"/>
        <rFont val="Verdana"/>
        <family val="2"/>
      </rPr>
      <t>Taxation</t>
    </r>
  </si>
  <si>
    <r>
      <rPr>
        <sz val="8"/>
        <rFont val="Verdana"/>
        <family val="2"/>
      </rPr>
      <t>v.</t>
    </r>
    <r>
      <rPr>
        <sz val="8"/>
        <rFont val="Times New Roman"/>
        <family val="1"/>
      </rPr>
      <t xml:space="preserve">   </t>
    </r>
    <r>
      <rPr>
        <sz val="8"/>
        <rFont val="Verdana"/>
        <family val="2"/>
      </rPr>
      <t xml:space="preserve">Corporate Social Responsibility </t>
    </r>
  </si>
  <si>
    <r>
      <rPr>
        <sz val="8"/>
        <rFont val="Verdana"/>
        <family val="2"/>
      </rPr>
      <t>ii.</t>
    </r>
    <r>
      <rPr>
        <sz val="8"/>
        <rFont val="Times New Roman"/>
        <family val="1"/>
      </rPr>
      <t xml:space="preserve">   </t>
    </r>
    <r>
      <rPr>
        <sz val="8"/>
        <rFont val="Verdana"/>
        <family val="2"/>
      </rPr>
      <t>Proposed dividend</t>
    </r>
  </si>
  <si>
    <r>
      <rPr>
        <sz val="8"/>
        <rFont val="Verdana"/>
        <family val="2"/>
      </rPr>
      <t>iii.</t>
    </r>
    <r>
      <rPr>
        <sz val="8"/>
        <rFont val="Times New Roman"/>
        <family val="1"/>
      </rPr>
      <t xml:space="preserve">   </t>
    </r>
    <r>
      <rPr>
        <sz val="8"/>
        <rFont val="Verdana"/>
        <family val="2"/>
      </rPr>
      <t>Dividend Distribution Tax</t>
    </r>
  </si>
  <si>
    <r>
      <rPr>
        <sz val="8"/>
        <rFont val="Verdana"/>
        <family val="2"/>
      </rPr>
      <t>iv.</t>
    </r>
    <r>
      <rPr>
        <sz val="8"/>
        <rFont val="Times New Roman"/>
        <family val="1"/>
      </rPr>
      <t xml:space="preserve">   </t>
    </r>
    <r>
      <rPr>
        <sz val="8"/>
        <rFont val="Verdana"/>
        <family val="2"/>
      </rPr>
      <t>Destinational Weight and Analysis Risk</t>
    </r>
  </si>
  <si>
    <r>
      <rPr>
        <sz val="8"/>
        <rFont val="Verdana"/>
        <family val="2"/>
      </rPr>
      <t>iii.</t>
    </r>
    <r>
      <rPr>
        <sz val="8"/>
        <rFont val="Times New Roman"/>
        <family val="1"/>
      </rPr>
      <t xml:space="preserve">   </t>
    </r>
    <r>
      <rPr>
        <sz val="8"/>
        <rFont val="Verdana"/>
        <family val="2"/>
      </rPr>
      <t>Post Retirement Medical Benefit</t>
    </r>
  </si>
  <si>
    <r>
      <rPr>
        <sz val="8"/>
        <rFont val="Verdana"/>
        <family val="2"/>
      </rPr>
      <t>iv.</t>
    </r>
    <r>
      <rPr>
        <sz val="8"/>
        <rFont val="Times New Roman"/>
        <family val="1"/>
      </rPr>
      <t xml:space="preserve">   </t>
    </r>
    <r>
      <rPr>
        <sz val="8"/>
        <rFont val="Verdana"/>
        <family val="2"/>
      </rPr>
      <t>Half Pay Leave</t>
    </r>
  </si>
  <si>
    <r>
      <rPr>
        <sz val="8"/>
        <rFont val="Verdana"/>
        <family val="2"/>
      </rPr>
      <t>ii.</t>
    </r>
    <r>
      <rPr>
        <sz val="8"/>
        <rFont val="Times New Roman"/>
        <family val="1"/>
      </rPr>
      <t xml:space="preserve">   </t>
    </r>
    <r>
      <rPr>
        <sz val="8"/>
        <rFont val="Verdana"/>
        <family val="2"/>
      </rPr>
      <t>Earned Leave</t>
    </r>
  </si>
  <si>
    <t xml:space="preserve">      </t>
  </si>
  <si>
    <r>
      <rPr>
        <sz val="8"/>
        <rFont val="Verdana"/>
        <family val="2"/>
      </rPr>
      <t>i.</t>
    </r>
    <r>
      <rPr>
        <sz val="8"/>
        <rFont val="Times New Roman"/>
        <family val="1"/>
      </rPr>
      <t xml:space="preserve">   </t>
    </r>
    <r>
      <rPr>
        <sz val="8"/>
        <rFont val="Verdana"/>
        <family val="2"/>
      </rPr>
      <t>Bonus/Performance related pay</t>
    </r>
  </si>
  <si>
    <t xml:space="preserve"> Particulars</t>
  </si>
  <si>
    <t>Depreciation  /   Impairment</t>
  </si>
  <si>
    <t>(Fully paid up ________ equity shares of Rs.___/- each ( P.Y. Fully paid up  _______  equity shares of Rs. ____/-  each))</t>
  </si>
  <si>
    <t xml:space="preserve">MMTC Transnational Pte. Ltd. (Fully paid up ______ Equity shares of S$ ___ each (P.Y. Fully paid up ______ Equity shares of S$ _____ each)) </t>
  </si>
  <si>
    <t>(Fully paid up______ equity shares of Rs.___/- each( P.Y. Fully paid up  ________ equity shares of Rs. ___/-  each))</t>
  </si>
  <si>
    <t>(Fully paid _______ equity shares of Rs.___/- each (P.Y. Fully paid  _______ equity shares of Rs. ____ /- each))</t>
  </si>
  <si>
    <t xml:space="preserve">                 -Unpaid Dividend</t>
  </si>
  <si>
    <t>(Fully paid____ equity shares of Rs. ___ /- each (P.Y. Fully paid  ____  equity shares of Rs. ___  /- each))</t>
  </si>
  <si>
    <t>(Fully paid_____equity shares of Rs. ___/-  each (P.Y. Fully paid _____  equity shares of Rs. ___/-  each))</t>
  </si>
  <si>
    <t>(Fully paid______ equity shares of Rs.___/- each (P.Y. Fully paid  _________  equity shares of Rs. ___/-  each))</t>
  </si>
  <si>
    <r>
      <rPr>
        <b/>
        <sz val="8"/>
        <rFont val="Verdana"/>
        <family val="2"/>
      </rPr>
      <t>Less:</t>
    </r>
    <r>
      <rPr>
        <sz val="8"/>
        <rFont val="Verdana"/>
        <family val="2"/>
      </rPr>
      <t xml:space="preserve"> Provision for Diminution in value of investment</t>
    </r>
  </si>
  <si>
    <r>
      <rPr>
        <b/>
        <sz val="8"/>
        <rFont val="Verdana"/>
        <family val="2"/>
      </rPr>
      <t>i.</t>
    </r>
    <r>
      <rPr>
        <b/>
        <sz val="8"/>
        <rFont val="Times New Roman"/>
        <family val="1"/>
      </rPr>
      <t xml:space="preserve">   </t>
    </r>
    <r>
      <rPr>
        <b/>
        <sz val="8"/>
        <rFont val="Verdana"/>
        <family val="2"/>
      </rPr>
      <t xml:space="preserve">Neelachal Ispat Nigam Limited </t>
    </r>
  </si>
  <si>
    <r>
      <rPr>
        <b/>
        <sz val="8"/>
        <rFont val="Verdana"/>
        <family val="2"/>
      </rPr>
      <t>ii.</t>
    </r>
    <r>
      <rPr>
        <b/>
        <sz val="8"/>
        <rFont val="Times New Roman"/>
        <family val="1"/>
      </rPr>
      <t xml:space="preserve">   </t>
    </r>
    <r>
      <rPr>
        <b/>
        <sz val="8"/>
        <rFont val="Verdana"/>
        <family val="2"/>
      </rPr>
      <t xml:space="preserve">Devona Thermal Power &amp; Infrastructure Ltd. </t>
    </r>
  </si>
  <si>
    <r>
      <rPr>
        <b/>
        <sz val="8"/>
        <rFont val="Verdana"/>
        <family val="2"/>
      </rPr>
      <t>ii.</t>
    </r>
    <r>
      <rPr>
        <b/>
        <sz val="8"/>
        <rFont val="Times New Roman"/>
        <family val="1"/>
      </rPr>
      <t xml:space="preserve">   </t>
    </r>
    <r>
      <rPr>
        <b/>
        <sz val="8"/>
        <rFont val="Verdana"/>
        <family val="2"/>
      </rPr>
      <t>Greater Noida Integrated Ware- housing Pvt. Ltd.</t>
    </r>
  </si>
  <si>
    <t>-Haldia Free Trade Warehousing Private Limited</t>
  </si>
  <si>
    <t>-Integrated Warehousing Kandla Projects Development Private Limited</t>
  </si>
  <si>
    <t>-Neelachal Ispat Nigam Limited</t>
  </si>
  <si>
    <t>Prov. For Doubtful debts</t>
  </si>
  <si>
    <r>
      <rPr>
        <sz val="8"/>
        <rFont val="Verdana"/>
        <family val="2"/>
      </rPr>
      <t>i.</t>
    </r>
    <r>
      <rPr>
        <sz val="8"/>
        <rFont val="Times New Roman"/>
        <family val="1"/>
      </rPr>
      <t xml:space="preserve">     </t>
    </r>
    <r>
      <rPr>
        <sz val="8"/>
        <rFont val="Verdana"/>
        <family val="2"/>
      </rPr>
      <t>Considered good (Secured  against hypothecation of assets/ mortgage of title deeds and Bank Guarantees)</t>
    </r>
  </si>
  <si>
    <r>
      <rPr>
        <sz val="8"/>
        <rFont val="Verdana"/>
        <family val="2"/>
      </rPr>
      <t>ii.</t>
    </r>
    <r>
      <rPr>
        <sz val="8"/>
        <rFont val="Times New Roman"/>
        <family val="1"/>
      </rPr>
      <t xml:space="preserve">     </t>
    </r>
    <r>
      <rPr>
        <sz val="8"/>
        <rFont val="Verdana"/>
        <family val="2"/>
      </rPr>
      <t xml:space="preserve">Unsecured Considered good </t>
    </r>
  </si>
  <si>
    <r>
      <rPr>
        <sz val="8"/>
        <rFont val="Verdana"/>
        <family val="2"/>
      </rPr>
      <t>iii.</t>
    </r>
    <r>
      <rPr>
        <sz val="8"/>
        <rFont val="Times New Roman"/>
        <family val="1"/>
      </rPr>
      <t xml:space="preserve">     </t>
    </r>
    <r>
      <rPr>
        <sz val="8"/>
        <rFont val="Verdana"/>
        <family val="2"/>
      </rPr>
      <t>Considered doubtful</t>
    </r>
  </si>
  <si>
    <r>
      <rPr>
        <b/>
        <sz val="8"/>
        <rFont val="Verdana"/>
        <family val="2"/>
      </rPr>
      <t>Less :</t>
    </r>
    <r>
      <rPr>
        <sz val="8"/>
        <rFont val="Verdana"/>
        <family val="2"/>
      </rPr>
      <t xml:space="preserve"> Provision for bad and doubtful receivables </t>
    </r>
  </si>
  <si>
    <r>
      <rPr>
        <sz val="8"/>
        <rFont val="Verdana"/>
        <family val="2"/>
      </rPr>
      <t>i.</t>
    </r>
    <r>
      <rPr>
        <sz val="8"/>
        <rFont val="Times New Roman"/>
        <family val="1"/>
      </rPr>
      <t xml:space="preserve">   </t>
    </r>
    <r>
      <rPr>
        <sz val="8"/>
        <rFont val="Verdana"/>
        <family val="2"/>
      </rPr>
      <t>Secured, considered good</t>
    </r>
  </si>
  <si>
    <r>
      <rPr>
        <sz val="8"/>
        <rFont val="Verdana"/>
        <family val="2"/>
      </rPr>
      <t>ii.</t>
    </r>
    <r>
      <rPr>
        <sz val="8"/>
        <rFont val="Times New Roman"/>
        <family val="1"/>
      </rPr>
      <t xml:space="preserve">   </t>
    </r>
    <r>
      <rPr>
        <sz val="8"/>
        <rFont val="Verdana"/>
        <family val="2"/>
      </rPr>
      <t>Unsecured, considered good</t>
    </r>
  </si>
  <si>
    <r>
      <t>iii.</t>
    </r>
    <r>
      <rPr>
        <sz val="8"/>
        <rFont val="Times New Roman"/>
        <family val="1"/>
      </rPr>
      <t xml:space="preserve">   </t>
    </r>
    <r>
      <rPr>
        <sz val="8"/>
        <rFont val="Verdana"/>
        <family val="2"/>
      </rPr>
      <t>Doubtful</t>
    </r>
  </si>
  <si>
    <t>Disallowance u/s -43B</t>
  </si>
  <si>
    <r>
      <rPr>
        <sz val="8"/>
        <rFont val="Verdana"/>
        <family val="2"/>
      </rPr>
      <t>i.</t>
    </r>
    <r>
      <rPr>
        <sz val="8"/>
        <rFont val="Times New Roman"/>
        <family val="1"/>
      </rPr>
      <t>    </t>
    </r>
    <r>
      <rPr>
        <sz val="8"/>
        <rFont val="Verdana"/>
        <family val="2"/>
      </rPr>
      <t>Secured, Considered good</t>
    </r>
  </si>
  <si>
    <r>
      <rPr>
        <sz val="8"/>
        <rFont val="Verdana"/>
        <family val="2"/>
      </rPr>
      <t>ii.</t>
    </r>
    <r>
      <rPr>
        <sz val="8"/>
        <rFont val="Times New Roman"/>
        <family val="1"/>
      </rPr>
      <t>    </t>
    </r>
    <r>
      <rPr>
        <sz val="8"/>
        <rFont val="Verdana"/>
        <family val="2"/>
      </rPr>
      <t>Unsecured Considered good</t>
    </r>
  </si>
  <si>
    <r>
      <rPr>
        <sz val="8"/>
        <rFont val="Verdana"/>
        <family val="2"/>
      </rPr>
      <t>iii.</t>
    </r>
    <r>
      <rPr>
        <sz val="8"/>
        <rFont val="Times New Roman"/>
        <family val="1"/>
      </rPr>
      <t>     </t>
    </r>
    <r>
      <rPr>
        <sz val="8"/>
        <rFont val="Verdana"/>
        <family val="2"/>
      </rPr>
      <t>Doubtful</t>
    </r>
  </si>
  <si>
    <r>
      <rPr>
        <sz val="8"/>
        <rFont val="Verdana"/>
        <family val="2"/>
      </rPr>
      <t>iii.</t>
    </r>
    <r>
      <rPr>
        <sz val="8"/>
        <rFont val="Times New Roman"/>
        <family val="1"/>
      </rPr>
      <t xml:space="preserve">     </t>
    </r>
    <r>
      <rPr>
        <sz val="8"/>
        <rFont val="Verdana"/>
        <family val="2"/>
      </rPr>
      <t>Doubtful</t>
    </r>
  </si>
  <si>
    <t>-Cheques, Drafts on hand</t>
  </si>
  <si>
    <t>-Cash on hand</t>
  </si>
  <si>
    <t xml:space="preserve">-Balances with Banks </t>
  </si>
  <si>
    <r>
      <t xml:space="preserve">          </t>
    </r>
    <r>
      <rPr>
        <sz val="8"/>
        <rFont val="Verdana"/>
        <family val="2"/>
      </rPr>
      <t>Loans &amp; ad. to PSUs/Other Companies</t>
    </r>
  </si>
  <si>
    <r>
      <t>          I</t>
    </r>
    <r>
      <rPr>
        <sz val="8"/>
        <rFont val="Verdana"/>
        <family val="2"/>
      </rPr>
      <t>nterest accrued &amp; due/not due</t>
    </r>
  </si>
  <si>
    <r>
      <t xml:space="preserve">          </t>
    </r>
    <r>
      <rPr>
        <sz val="8"/>
        <rFont val="Verdana"/>
        <family val="2"/>
      </rPr>
      <t>Loans to employees</t>
    </r>
  </si>
  <si>
    <t>-in term deposits with original maturity more than 3 months and upto 12 months</t>
  </si>
  <si>
    <t>-more than 12 months original maturity</t>
  </si>
  <si>
    <r>
      <rPr>
        <b/>
        <sz val="8"/>
        <rFont val="Verdana"/>
        <family val="2"/>
      </rPr>
      <t>i.</t>
    </r>
    <r>
      <rPr>
        <b/>
        <sz val="8"/>
        <rFont val="Times New Roman"/>
        <family val="1"/>
      </rPr>
      <t xml:space="preserve">     </t>
    </r>
    <r>
      <rPr>
        <sz val="8"/>
        <rFont val="Verdana"/>
        <family val="2"/>
      </rPr>
      <t xml:space="preserve">Secured -Considered good </t>
    </r>
  </si>
  <si>
    <r>
      <rPr>
        <b/>
        <sz val="8"/>
        <rFont val="Verdana"/>
        <family val="2"/>
      </rPr>
      <t>ii.</t>
    </r>
    <r>
      <rPr>
        <b/>
        <sz val="8"/>
        <rFont val="Times New Roman"/>
        <family val="1"/>
      </rPr>
      <t xml:space="preserve">     </t>
    </r>
    <r>
      <rPr>
        <sz val="8"/>
        <rFont val="Verdana"/>
        <family val="2"/>
      </rPr>
      <t xml:space="preserve">Unsecured -Considered good </t>
    </r>
  </si>
  <si>
    <r>
      <rPr>
        <b/>
        <sz val="8"/>
        <rFont val="Verdana"/>
        <family val="2"/>
      </rPr>
      <t>iii.</t>
    </r>
    <r>
      <rPr>
        <b/>
        <sz val="8"/>
        <rFont val="Times New Roman"/>
        <family val="1"/>
      </rPr>
      <t xml:space="preserve">     </t>
    </r>
    <r>
      <rPr>
        <sz val="8"/>
        <rFont val="Verdana"/>
        <family val="2"/>
      </rPr>
      <t>Doubtful</t>
    </r>
  </si>
  <si>
    <t xml:space="preserve">Less : Provision for Bad and Doubtful loans and advances </t>
  </si>
  <si>
    <r>
      <rPr>
        <b/>
        <sz val="8"/>
        <rFont val="Verdana"/>
        <family val="2"/>
      </rPr>
      <t>Less :</t>
    </r>
    <r>
      <rPr>
        <sz val="8"/>
        <rFont val="Verdana"/>
        <family val="2"/>
      </rPr>
      <t xml:space="preserve"> Provision for Bad and Doubtful loans and advances </t>
    </r>
  </si>
  <si>
    <t xml:space="preserve">Unsecured -Considered good </t>
  </si>
  <si>
    <t xml:space="preserve">Secured -Considered good </t>
  </si>
  <si>
    <t>Doubtful</t>
  </si>
  <si>
    <r>
      <rPr>
        <sz val="8"/>
        <rFont val="Verdana"/>
        <family val="2"/>
      </rPr>
      <t>i.</t>
    </r>
    <r>
      <rPr>
        <sz val="8"/>
        <rFont val="Times New Roman"/>
        <family val="1"/>
      </rPr>
      <t>    </t>
    </r>
    <r>
      <rPr>
        <sz val="8"/>
        <rFont val="Verdana"/>
        <family val="2"/>
      </rPr>
      <t>Bills Receivable</t>
    </r>
  </si>
  <si>
    <r>
      <rPr>
        <sz val="8"/>
        <rFont val="Verdana"/>
        <family val="2"/>
      </rPr>
      <t>ii.</t>
    </r>
    <r>
      <rPr>
        <sz val="8"/>
        <rFont val="Times New Roman"/>
        <family val="1"/>
      </rPr>
      <t>   </t>
    </r>
    <r>
      <rPr>
        <sz val="8"/>
        <rFont val="Verdana"/>
        <family val="2"/>
      </rPr>
      <t>Advance recoverable in cash or kind</t>
    </r>
  </si>
  <si>
    <r>
      <rPr>
        <sz val="8"/>
        <rFont val="Verdana"/>
        <family val="2"/>
      </rPr>
      <t>iii.</t>
    </r>
    <r>
      <rPr>
        <sz val="8"/>
        <rFont val="Times New Roman"/>
        <family val="1"/>
      </rPr>
      <t>    </t>
    </r>
    <r>
      <rPr>
        <sz val="8"/>
        <rFont val="Verdana"/>
        <family val="2"/>
      </rPr>
      <t>Advance to Suppliers</t>
    </r>
  </si>
  <si>
    <r>
      <rPr>
        <sz val="8"/>
        <rFont val="Verdana"/>
        <family val="2"/>
      </rPr>
      <t>iv.</t>
    </r>
    <r>
      <rPr>
        <sz val="8"/>
        <rFont val="Times New Roman"/>
        <family val="1"/>
      </rPr>
      <t>    </t>
    </r>
    <r>
      <rPr>
        <sz val="8"/>
        <rFont val="Verdana"/>
        <family val="2"/>
      </rPr>
      <t>Income Tax (including advance income tax, TDS and refund due)</t>
    </r>
  </si>
  <si>
    <r>
      <t>d.</t>
    </r>
    <r>
      <rPr>
        <sz val="8"/>
        <rFont val="Times New Roman"/>
        <family val="1"/>
      </rPr>
      <t>    </t>
    </r>
    <r>
      <rPr>
        <sz val="8"/>
        <rFont val="Verdana"/>
        <family val="2"/>
      </rPr>
      <t>other non operating income (net of expenses directly attributable to such income)</t>
    </r>
  </si>
  <si>
    <r>
      <t>c.</t>
    </r>
    <r>
      <rPr>
        <sz val="8"/>
        <rFont val="Times New Roman"/>
        <family val="1"/>
      </rPr>
      <t>     </t>
    </r>
    <r>
      <rPr>
        <sz val="8"/>
        <rFont val="Verdana"/>
        <family val="2"/>
      </rPr>
      <t>Net gain/ loss on sale of investments</t>
    </r>
  </si>
  <si>
    <r>
      <rPr>
        <sz val="8"/>
        <rFont val="Verdana"/>
        <family val="2"/>
      </rPr>
      <t>i.</t>
    </r>
    <r>
      <rPr>
        <sz val="8"/>
        <rFont val="Times New Roman"/>
        <family val="1"/>
      </rPr>
      <t>    </t>
    </r>
    <r>
      <rPr>
        <sz val="8"/>
        <rFont val="Verdana"/>
        <family val="2"/>
      </rPr>
      <t>Salaries and Allowances</t>
    </r>
  </si>
  <si>
    <r>
      <rPr>
        <sz val="8"/>
        <rFont val="Verdana"/>
        <family val="2"/>
      </rPr>
      <t>ii.</t>
    </r>
    <r>
      <rPr>
        <sz val="8"/>
        <rFont val="Times New Roman"/>
        <family val="1"/>
      </rPr>
      <t>    </t>
    </r>
    <r>
      <rPr>
        <sz val="8"/>
        <rFont val="Verdana"/>
        <family val="2"/>
      </rPr>
      <t>Leave encashment</t>
    </r>
  </si>
  <si>
    <r>
      <rPr>
        <sz val="8"/>
        <rFont val="Verdana"/>
        <family val="2"/>
      </rPr>
      <t>iii.</t>
    </r>
    <r>
      <rPr>
        <sz val="8"/>
        <rFont val="Times New Roman"/>
        <family val="1"/>
      </rPr>
      <t>    </t>
    </r>
    <r>
      <rPr>
        <sz val="8"/>
        <rFont val="Verdana"/>
        <family val="2"/>
      </rPr>
      <t>VR expenses</t>
    </r>
  </si>
  <si>
    <r>
      <rPr>
        <sz val="8"/>
        <rFont val="Verdana"/>
        <family val="2"/>
      </rPr>
      <t>iv.</t>
    </r>
    <r>
      <rPr>
        <sz val="8"/>
        <rFont val="Times New Roman"/>
        <family val="1"/>
      </rPr>
      <t>    </t>
    </r>
    <r>
      <rPr>
        <sz val="8"/>
        <rFont val="Verdana"/>
        <family val="2"/>
      </rPr>
      <t>Bonus</t>
    </r>
  </si>
  <si>
    <r>
      <rPr>
        <sz val="8"/>
        <rFont val="Verdana"/>
        <family val="2"/>
      </rPr>
      <t>v.</t>
    </r>
    <r>
      <rPr>
        <sz val="8"/>
        <rFont val="Times New Roman"/>
        <family val="1"/>
      </rPr>
      <t>     </t>
    </r>
    <r>
      <rPr>
        <sz val="8"/>
        <rFont val="Verdana"/>
        <family val="2"/>
      </rPr>
      <t>Performance Related pay</t>
    </r>
  </si>
  <si>
    <r>
      <rPr>
        <sz val="8"/>
        <rFont val="Verdana"/>
        <family val="2"/>
      </rPr>
      <t>vi.</t>
    </r>
    <r>
      <rPr>
        <sz val="8"/>
        <rFont val="Times New Roman"/>
        <family val="1"/>
      </rPr>
      <t>    </t>
    </r>
    <r>
      <rPr>
        <sz val="8"/>
        <rFont val="Verdana"/>
        <family val="2"/>
      </rPr>
      <t>Medical Expenses</t>
    </r>
  </si>
  <si>
    <r>
      <rPr>
        <sz val="8"/>
        <rFont val="Verdana"/>
        <family val="2"/>
      </rPr>
      <t>vii.</t>
    </r>
    <r>
      <rPr>
        <sz val="8"/>
        <rFont val="Times New Roman"/>
        <family val="1"/>
      </rPr>
      <t>   </t>
    </r>
    <r>
      <rPr>
        <sz val="8"/>
        <rFont val="Verdana"/>
        <family val="2"/>
      </rPr>
      <t>Superannuation Benefit</t>
    </r>
  </si>
  <si>
    <r>
      <rPr>
        <sz val="8"/>
        <rFont val="Verdana"/>
        <family val="2"/>
      </rPr>
      <t>viii.</t>
    </r>
    <r>
      <rPr>
        <sz val="8"/>
        <rFont val="Times New Roman"/>
        <family val="1"/>
      </rPr>
      <t>   </t>
    </r>
    <r>
      <rPr>
        <sz val="8"/>
        <rFont val="Verdana"/>
        <family val="2"/>
      </rPr>
      <t>Group Insurance</t>
    </r>
  </si>
  <si>
    <r>
      <rPr>
        <sz val="8"/>
        <rFont val="Verdana"/>
        <family val="2"/>
      </rPr>
      <t>ix.</t>
    </r>
    <r>
      <rPr>
        <sz val="8"/>
        <rFont val="Times New Roman"/>
        <family val="1"/>
      </rPr>
      <t>     </t>
    </r>
    <r>
      <rPr>
        <sz val="8"/>
        <rFont val="Verdana"/>
        <family val="2"/>
      </rPr>
      <t>Contribution to DLIS</t>
    </r>
  </si>
  <si>
    <r>
      <rPr>
        <sz val="8"/>
        <rFont val="Verdana"/>
        <family val="2"/>
      </rPr>
      <t>i.</t>
    </r>
    <r>
      <rPr>
        <sz val="8"/>
        <rFont val="Times New Roman"/>
        <family val="1"/>
      </rPr>
      <t xml:space="preserve">     </t>
    </r>
    <r>
      <rPr>
        <sz val="8"/>
        <rFont val="Verdana"/>
        <family val="2"/>
      </rPr>
      <t>Salaries and wages</t>
    </r>
  </si>
  <si>
    <r>
      <rPr>
        <sz val="8"/>
        <rFont val="Verdana"/>
        <family val="2"/>
      </rPr>
      <t>ii.</t>
    </r>
    <r>
      <rPr>
        <sz val="8"/>
        <rFont val="Times New Roman"/>
        <family val="1"/>
      </rPr>
      <t xml:space="preserve">     </t>
    </r>
    <r>
      <rPr>
        <sz val="8"/>
        <rFont val="Verdana"/>
        <family val="2"/>
      </rPr>
      <t>Contribution to provident fund and other funds</t>
    </r>
  </si>
  <si>
    <r>
      <rPr>
        <sz val="8"/>
        <rFont val="Verdana"/>
        <family val="2"/>
      </rPr>
      <t>iii.</t>
    </r>
    <r>
      <rPr>
        <sz val="8"/>
        <rFont val="Times New Roman"/>
        <family val="1"/>
      </rPr>
      <t xml:space="preserve">     </t>
    </r>
    <r>
      <rPr>
        <sz val="8"/>
        <rFont val="Verdana"/>
        <family val="2"/>
      </rPr>
      <t>ESOP/ESPP</t>
    </r>
  </si>
  <si>
    <r>
      <rPr>
        <sz val="8"/>
        <rFont val="Verdana"/>
        <family val="2"/>
      </rPr>
      <t>iv.</t>
    </r>
    <r>
      <rPr>
        <sz val="8"/>
        <rFont val="Times New Roman"/>
        <family val="1"/>
      </rPr>
      <t xml:space="preserve">     </t>
    </r>
    <r>
      <rPr>
        <sz val="8"/>
        <rFont val="Verdana"/>
        <family val="2"/>
      </rPr>
      <t>Staff Welfare Expenses</t>
    </r>
  </si>
  <si>
    <r>
      <rPr>
        <sz val="8"/>
        <rFont val="Verdana"/>
        <family val="2"/>
      </rPr>
      <t>i.</t>
    </r>
    <r>
      <rPr>
        <sz val="8"/>
        <rFont val="Times New Roman"/>
        <family val="1"/>
      </rPr>
      <t>      </t>
    </r>
    <r>
      <rPr>
        <sz val="8"/>
        <rFont val="Verdana"/>
        <family val="2"/>
      </rPr>
      <t xml:space="preserve">Provident Fund </t>
    </r>
  </si>
  <si>
    <r>
      <rPr>
        <sz val="8"/>
        <rFont val="Verdana"/>
        <family val="2"/>
      </rPr>
      <t>ii.</t>
    </r>
    <r>
      <rPr>
        <sz val="8"/>
        <rFont val="Times New Roman"/>
        <family val="1"/>
      </rPr>
      <t>      </t>
    </r>
    <r>
      <rPr>
        <sz val="8"/>
        <rFont val="Verdana"/>
        <family val="2"/>
      </rPr>
      <t>Gratuity Fund</t>
    </r>
  </si>
  <si>
    <r>
      <rPr>
        <sz val="8"/>
        <rFont val="Verdana"/>
        <family val="2"/>
      </rPr>
      <t>iii.</t>
    </r>
    <r>
      <rPr>
        <sz val="8"/>
        <rFont val="Times New Roman"/>
        <family val="1"/>
      </rPr>
      <t>       </t>
    </r>
    <r>
      <rPr>
        <sz val="8"/>
        <rFont val="Verdana"/>
        <family val="2"/>
      </rPr>
      <t>Family Pension Scheme</t>
    </r>
  </si>
  <si>
    <r>
      <t>b.</t>
    </r>
    <r>
      <rPr>
        <sz val="8"/>
        <rFont val="Times New Roman"/>
        <family val="1"/>
      </rPr>
      <t xml:space="preserve">     </t>
    </r>
    <r>
      <rPr>
        <sz val="8"/>
        <rFont val="Verdana"/>
        <family val="2"/>
      </rPr>
      <t>Other Balances with Banks</t>
    </r>
  </si>
  <si>
    <r>
      <t xml:space="preserve">7.4  </t>
    </r>
    <r>
      <rPr>
        <b/>
        <sz val="8"/>
        <rFont val="Verdana"/>
        <family val="2"/>
      </rPr>
      <t>CASH AND OTHER BANK BALANCES</t>
    </r>
  </si>
  <si>
    <r>
      <t xml:space="preserve">Balances with banks to the extent held as margin money or security against the borrowings, guarantees, other commitments </t>
    </r>
    <r>
      <rPr>
        <sz val="8"/>
        <rFont val="Rupee Foradian"/>
        <family val="2"/>
      </rPr>
      <t>`</t>
    </r>
    <r>
      <rPr>
        <sz val="8"/>
        <rFont val="Verdana"/>
        <family val="2"/>
      </rPr>
      <t xml:space="preserve">     millions (PY </t>
    </r>
    <r>
      <rPr>
        <sz val="8"/>
        <rFont val="Rupee Foradian"/>
        <family val="2"/>
      </rPr>
      <t>`</t>
    </r>
    <r>
      <rPr>
        <sz val="8"/>
        <rFont val="Verdana"/>
        <family val="2"/>
      </rPr>
      <t xml:space="preserve">     millions).</t>
    </r>
  </si>
  <si>
    <r>
      <t>7.5  </t>
    </r>
    <r>
      <rPr>
        <b/>
        <sz val="8"/>
        <rFont val="Verdana"/>
        <family val="2"/>
      </rPr>
      <t>SHORT TERM LOANS AND ADVANCES</t>
    </r>
  </si>
  <si>
    <r>
      <t>A.</t>
    </r>
    <r>
      <rPr>
        <b/>
        <sz val="8"/>
        <rFont val="Times New Roman"/>
        <family val="1"/>
      </rPr>
      <t xml:space="preserve"> </t>
    </r>
    <r>
      <rPr>
        <b/>
        <sz val="8"/>
        <rFont val="Verdana"/>
        <family val="2"/>
      </rPr>
      <t>Loans and advances to  related parties*</t>
    </r>
  </si>
  <si>
    <r>
      <t>B.</t>
    </r>
    <r>
      <rPr>
        <b/>
        <sz val="8"/>
        <rFont val="Times New Roman"/>
        <family val="1"/>
      </rPr>
      <t xml:space="preserve">  </t>
    </r>
    <r>
      <rPr>
        <b/>
        <sz val="8"/>
        <rFont val="Verdana"/>
        <family val="2"/>
      </rPr>
      <t>Others</t>
    </r>
  </si>
  <si>
    <t xml:space="preserve">                Less: Bills Discounted</t>
  </si>
  <si>
    <t xml:space="preserve">                Secured -Considered good </t>
  </si>
  <si>
    <t xml:space="preserve">          Unsecured -Considered good </t>
  </si>
  <si>
    <t xml:space="preserve">          Doubtful</t>
  </si>
  <si>
    <r>
      <t xml:space="preserve">(Amount in </t>
    </r>
    <r>
      <rPr>
        <b/>
        <sz val="8"/>
        <rFont val="Rupee Foradian"/>
        <family val="2"/>
      </rPr>
      <t>`</t>
    </r>
    <r>
      <rPr>
        <b/>
        <sz val="8"/>
        <rFont val="Verdana"/>
        <family val="2"/>
      </rPr>
      <t>)</t>
    </r>
  </si>
  <si>
    <r>
      <t xml:space="preserve">(Value in </t>
    </r>
    <r>
      <rPr>
        <b/>
        <sz val="8"/>
        <rFont val="Rupee Foradian"/>
        <family val="2"/>
      </rPr>
      <t>`</t>
    </r>
    <r>
      <rPr>
        <b/>
        <sz val="8"/>
        <rFont val="Verdana"/>
        <family val="2"/>
      </rPr>
      <t>)</t>
    </r>
  </si>
  <si>
    <r>
      <t>7.6    </t>
    </r>
    <r>
      <rPr>
        <b/>
        <sz val="8"/>
        <rFont val="Verdana"/>
        <family val="2"/>
      </rPr>
      <t>OTHER CURRENT ASSETS (</t>
    </r>
    <r>
      <rPr>
        <sz val="8"/>
        <rFont val="Verdana"/>
        <family val="2"/>
      </rPr>
      <t>assets that do not fit into any other asset categories)</t>
    </r>
  </si>
  <si>
    <t>Deferred Premium</t>
  </si>
  <si>
    <t>Less: Provision for doubtful amount, if any</t>
  </si>
  <si>
    <r>
      <t xml:space="preserve">8   </t>
    </r>
    <r>
      <rPr>
        <b/>
        <sz val="8"/>
        <rFont val="Verdana"/>
        <family val="2"/>
      </rPr>
      <t>CONTINGENT LIABILITIES AND COMMITMENTS (TO THE EXTENT NOT PROVIDED FOR):</t>
    </r>
  </si>
  <si>
    <t xml:space="preserve">I. Contingent Liabilities: </t>
  </si>
  <si>
    <r>
      <t>a)</t>
    </r>
    <r>
      <rPr>
        <sz val="8"/>
        <rFont val="Times New Roman"/>
        <family val="1"/>
      </rPr>
      <t xml:space="preserve">    </t>
    </r>
    <r>
      <rPr>
        <sz val="8"/>
        <rFont val="Verdana"/>
        <family val="2"/>
      </rPr>
      <t>Guarantees   issued   by   Banks   on   behalf of the Company Rs. ____ million (P.Y. Rs. ____ million).</t>
    </r>
  </si>
  <si>
    <r>
      <t>c)</t>
    </r>
    <r>
      <rPr>
        <sz val="8"/>
        <rFont val="Times New Roman"/>
        <family val="1"/>
      </rPr>
      <t xml:space="preserve">    </t>
    </r>
    <r>
      <rPr>
        <sz val="8"/>
        <rFont val="Verdana"/>
        <family val="2"/>
      </rPr>
      <t>Claims against the Company not acknowledged as debts Rs. _____million  (P.Y. Rs. _____ million).</t>
    </r>
  </si>
  <si>
    <r>
      <rPr>
        <sz val="8"/>
        <rFont val="Verdana"/>
        <family val="2"/>
      </rPr>
      <t>iii.</t>
    </r>
    <r>
      <rPr>
        <sz val="8"/>
        <rFont val="Times New Roman"/>
        <family val="1"/>
      </rPr>
      <t xml:space="preserve">     </t>
    </r>
    <r>
      <rPr>
        <sz val="8"/>
        <rFont val="Verdana"/>
        <family val="2"/>
      </rPr>
      <t>Considered doubtful*</t>
    </r>
  </si>
  <si>
    <r>
      <rPr>
        <b/>
        <sz val="8"/>
        <rFont val="Verdana"/>
        <family val="2"/>
      </rPr>
      <t>Less :</t>
    </r>
    <r>
      <rPr>
        <sz val="8"/>
        <rFont val="Verdana"/>
        <family val="2"/>
      </rPr>
      <t xml:space="preserve"> Provision for bad and doubtful receivables *</t>
    </r>
  </si>
  <si>
    <r>
      <rPr>
        <b/>
        <sz val="8"/>
        <rFont val="Verdana"/>
        <family val="2"/>
      </rPr>
      <t>Less:</t>
    </r>
    <r>
      <rPr>
        <sz val="8"/>
        <rFont val="Verdana"/>
        <family val="2"/>
      </rPr>
      <t xml:space="preserve"> Provision  for bad and doubtful</t>
    </r>
  </si>
  <si>
    <r>
      <t xml:space="preserve"> </t>
    </r>
    <r>
      <rPr>
        <b/>
        <sz val="8"/>
        <rFont val="Verdana"/>
        <family val="2"/>
      </rPr>
      <t>Long Term Trade Receivables</t>
    </r>
  </si>
  <si>
    <t>I. Interest expense</t>
  </si>
  <si>
    <t>II. Other borrowing costs</t>
  </si>
  <si>
    <t>III.Applicable Net gain/loss on foreign currency transactions</t>
  </si>
  <si>
    <t>Interest expense include Rs._________million (P.Y. Rs.________million) paid for shortfall in payment of advance income tax.</t>
  </si>
  <si>
    <t>Interest expense include Rs._______million (P.Y. Rs.___________million) paid as penalties which are compensatory in nature.</t>
  </si>
  <si>
    <r>
      <t>16</t>
    </r>
    <r>
      <rPr>
        <b/>
        <sz val="8"/>
        <rFont val="Times New Roman"/>
        <family val="1"/>
      </rPr>
      <t>   </t>
    </r>
    <r>
      <rPr>
        <b/>
        <sz val="8"/>
        <rFont val="Verdana"/>
        <family val="2"/>
      </rPr>
      <t>OTHER EXPENSES</t>
    </r>
  </si>
  <si>
    <t xml:space="preserve">A. Operating Expenses </t>
  </si>
  <si>
    <t>Freight</t>
  </si>
  <si>
    <t>Demurrage</t>
  </si>
  <si>
    <t xml:space="preserve">Clearing, Handling, Discount &amp; Other charges  </t>
  </si>
  <si>
    <t>L/C negotiation  and other charges</t>
  </si>
  <si>
    <t>Customs duty</t>
  </si>
  <si>
    <t>Insurance</t>
  </si>
  <si>
    <t>Godown insurance</t>
  </si>
  <si>
    <t>Plot and Godown rent</t>
  </si>
  <si>
    <t xml:space="preserve">Provision for destinational weight and analysis risk </t>
  </si>
  <si>
    <t>B. Administrative Expenses</t>
  </si>
  <si>
    <t>Consumption of stores and spare parts</t>
  </si>
  <si>
    <t>Power &amp; Fuel</t>
  </si>
  <si>
    <t>Rent</t>
  </si>
  <si>
    <t>Repairs to buildings</t>
  </si>
  <si>
    <t>Repairs to machinery</t>
  </si>
  <si>
    <t>Rates and taxes</t>
  </si>
  <si>
    <t>Miscellaneous expenses include the following:-</t>
  </si>
  <si>
    <t>a) Adjustment to the carrying amount of investments</t>
  </si>
  <si>
    <t>b) Net gain or loss on foreign currency translation</t>
  </si>
  <si>
    <t>As Auditor</t>
  </si>
  <si>
    <t>For Taxation Matters</t>
  </si>
  <si>
    <t>For Company Law Matters</t>
  </si>
  <si>
    <t>For Management Services</t>
  </si>
  <si>
    <t>For Other Services</t>
  </si>
  <si>
    <t>Loss/(Gain) in exchange</t>
  </si>
  <si>
    <t>For Reimbursement of Expenses</t>
  </si>
  <si>
    <t>d) Prior Period Items</t>
  </si>
  <si>
    <t>Expenditure</t>
  </si>
  <si>
    <t>Cost of sales</t>
  </si>
  <si>
    <t>Salaries &amp; wages</t>
  </si>
  <si>
    <t>Administrative Expenses</t>
  </si>
  <si>
    <t>Interest</t>
  </si>
  <si>
    <t>Income</t>
  </si>
  <si>
    <t>Sales</t>
  </si>
  <si>
    <t>Other Receipts</t>
  </si>
  <si>
    <t>TOTAL (Net)</t>
  </si>
  <si>
    <t xml:space="preserve">ADDITIONAL INFORMATION TO STATEMENT OF PROFIT AND LOSS:- </t>
  </si>
  <si>
    <r>
      <t xml:space="preserve"> </t>
    </r>
    <r>
      <rPr>
        <b/>
        <sz val="8"/>
        <rFont val="Verdana"/>
        <family val="2"/>
      </rPr>
      <t>i.</t>
    </r>
    <r>
      <rPr>
        <b/>
        <sz val="8"/>
        <rFont val="Times New Roman"/>
        <family val="1"/>
      </rPr>
      <t xml:space="preserve">  </t>
    </r>
    <r>
      <rPr>
        <sz val="8"/>
        <rFont val="Verdana"/>
        <family val="2"/>
      </rPr>
      <t>An amount of Rs.________ million (P.Y. Rs._______ million) transferred to General Reserves from the profit made during the year.</t>
    </r>
  </si>
  <si>
    <t>a) Key Management Personnel</t>
  </si>
  <si>
    <t>i.                                   Chairman and Managing  Director</t>
  </si>
  <si>
    <t>ii.                                   Director</t>
  </si>
  <si>
    <t xml:space="preserve">iii.                                  Director </t>
  </si>
  <si>
    <t xml:space="preserve">iv.                                  Director </t>
  </si>
  <si>
    <t xml:space="preserve">v.                                  Director </t>
  </si>
  <si>
    <t xml:space="preserve">vi                                  Director </t>
  </si>
  <si>
    <t xml:space="preserve">vii                                 Director </t>
  </si>
  <si>
    <t xml:space="preserve">b) Subsidiary </t>
  </si>
  <si>
    <t>MMTC Transnational Pte. Ltd., Singapore</t>
  </si>
  <si>
    <t>Devona Thermal Power &amp; Infrastructure Ltd.</t>
  </si>
  <si>
    <t xml:space="preserve">Neelachal Ispat Nigam Ltd. </t>
  </si>
  <si>
    <t>d) Joint Ventures:-</t>
  </si>
  <si>
    <t>c) Associate:-</t>
  </si>
  <si>
    <t>Free Trade Warehousing Pvt. Ltd</t>
  </si>
  <si>
    <t>Haldia Free Trade Warehousing Pvt. Ltd.</t>
  </si>
  <si>
    <t xml:space="preserve">Greater Noida Integrated Waresousing Pvt. Ltd. </t>
  </si>
  <si>
    <t xml:space="preserve">             Provision for Taxation</t>
  </si>
  <si>
    <t xml:space="preserve">             Excess/short provision of tax </t>
  </si>
  <si>
    <t xml:space="preserve">             relating to earlier years </t>
  </si>
  <si>
    <t>Integrated Warehousing Kandla Project Development Pvt. Ltd.</t>
  </si>
  <si>
    <t>MMTC Pamp India Pvt. Ltd.</t>
  </si>
  <si>
    <t>MMTC Gitanjali Private Ltd.</t>
  </si>
  <si>
    <t>Indian Commodity Exchange Ltd.</t>
  </si>
  <si>
    <t>Sical Iron Ore Terminal Ltd.</t>
  </si>
  <si>
    <t>B. Details of transactions during the year 2011-12</t>
  </si>
  <si>
    <t>Subsidiary</t>
  </si>
  <si>
    <t>Associates</t>
  </si>
  <si>
    <t>Joint Ventures</t>
  </si>
  <si>
    <t>Key management personnel</t>
  </si>
  <si>
    <t>Purchase of goods</t>
  </si>
  <si>
    <t>Sale of goods</t>
  </si>
  <si>
    <t>Sale of fixed assets</t>
  </si>
  <si>
    <t>Dividend Received</t>
  </si>
  <si>
    <t>Finance including  loans and equity contribution  in cash or in kind</t>
  </si>
  <si>
    <t>Corporate Guarantees</t>
  </si>
  <si>
    <t>Other payment Demurrage / Despatch</t>
  </si>
  <si>
    <t>Other receipt Demurrage / Despatch</t>
  </si>
  <si>
    <t>Remuneration</t>
  </si>
  <si>
    <t>Outstanding Balance</t>
  </si>
  <si>
    <t>Receivable</t>
  </si>
  <si>
    <t>Payable</t>
  </si>
  <si>
    <r>
      <t xml:space="preserve">23. </t>
    </r>
    <r>
      <rPr>
        <sz val="8"/>
        <rFont val="Verdana"/>
        <family val="2"/>
      </rPr>
      <t>Earning per Share:</t>
    </r>
  </si>
  <si>
    <t xml:space="preserve">Total number of Equity Shares (million)        </t>
  </si>
  <si>
    <r>
      <t>Profit after Tax (</t>
    </r>
    <r>
      <rPr>
        <sz val="8"/>
        <rFont val="Rupee Foradian"/>
        <family val="2"/>
      </rPr>
      <t>`</t>
    </r>
    <r>
      <rPr>
        <sz val="8"/>
        <rFont val="Verdana"/>
        <family val="2"/>
      </rPr>
      <t xml:space="preserve"> in million)</t>
    </r>
  </si>
  <si>
    <r>
      <t>Basic and diluted earnings per share (</t>
    </r>
    <r>
      <rPr>
        <sz val="8"/>
        <rFont val="Rupee Foradian"/>
        <family val="2"/>
      </rPr>
      <t>`</t>
    </r>
    <r>
      <rPr>
        <sz val="8"/>
        <rFont val="Verdana"/>
        <family val="2"/>
      </rPr>
      <t xml:space="preserve">) </t>
    </r>
  </si>
  <si>
    <r>
      <t xml:space="preserve">(Face value </t>
    </r>
    <r>
      <rPr>
        <sz val="8"/>
        <rFont val="Rupee Foradian"/>
        <family val="2"/>
      </rPr>
      <t>`</t>
    </r>
    <r>
      <rPr>
        <sz val="8"/>
        <rFont val="Verdana"/>
        <family val="2"/>
      </rPr>
      <t xml:space="preserve"> 1/- per share) ( P.Y. Face value </t>
    </r>
    <r>
      <rPr>
        <sz val="8"/>
        <rFont val="Rupee Foradian"/>
        <family val="2"/>
      </rPr>
      <t>`</t>
    </r>
    <r>
      <rPr>
        <sz val="8"/>
        <rFont val="Verdana"/>
        <family val="2"/>
      </rPr>
      <t xml:space="preserve"> 1/- per share)</t>
    </r>
  </si>
  <si>
    <t>Assets</t>
  </si>
  <si>
    <t>Name of the Joint Venture Company</t>
  </si>
  <si>
    <t>% of Company’s ownership Interest</t>
  </si>
  <si>
    <t>Liabilities</t>
  </si>
  <si>
    <t>Cont. Liabilities</t>
  </si>
  <si>
    <r>
      <rPr>
        <b/>
        <sz val="8"/>
        <rFont val="Verdana"/>
        <family val="2"/>
      </rPr>
      <t>Less:</t>
    </r>
    <r>
      <rPr>
        <sz val="8"/>
        <rFont val="Verdana"/>
        <family val="2"/>
      </rPr>
      <t xml:space="preserve"> Provision  towards extra-ordinary item (Bullion receivable) </t>
    </r>
    <r>
      <rPr>
        <b/>
        <sz val="8"/>
        <rFont val="Verdana"/>
        <family val="2"/>
      </rPr>
      <t>*</t>
    </r>
  </si>
  <si>
    <t>Capital Commitments</t>
  </si>
  <si>
    <t>1. Free Trade Warehousing Pvt. Ltd.</t>
  </si>
  <si>
    <t>2. Greater Noida Integrated Warehousing Pvt. Ltd.</t>
  </si>
  <si>
    <t xml:space="preserve">3. MMTC Pamp India Pvt. Ltd. </t>
  </si>
  <si>
    <t>4. Sical Iron Ore Terminal Ltd.</t>
  </si>
  <si>
    <t xml:space="preserve">5. MMTC Gitanjali Pvt Ltd. </t>
  </si>
  <si>
    <t xml:space="preserve">6. Indian Commodity Exchange Ltd. </t>
  </si>
  <si>
    <r>
      <t>26. </t>
    </r>
    <r>
      <rPr>
        <sz val="8"/>
        <rFont val="Verdana"/>
        <family val="2"/>
      </rPr>
      <t>Reconciliation of provisions in terms of AS-29 is as under:</t>
    </r>
  </si>
  <si>
    <r>
      <t xml:space="preserve"> 25.  </t>
    </r>
    <r>
      <rPr>
        <sz val="8"/>
        <rFont val="Verdana"/>
        <family val="2"/>
      </rPr>
      <t>As required by Accounting Standard(AS) 28 “ Impairment of Assets ” notified by the Institute of Chartered Accountants of India, the company has carried out the assessment of impairment of assets. There has been no impairment loss during the year.</t>
    </r>
  </si>
  <si>
    <t>Particulars of Provision</t>
  </si>
  <si>
    <t>Opening Balance as on 01.04.11</t>
  </si>
  <si>
    <t>Adjustment during year</t>
  </si>
  <si>
    <t>Closing Balance as on 31.03.12</t>
  </si>
  <si>
    <t xml:space="preserve"> </t>
  </si>
  <si>
    <t xml:space="preserve">                -Advance received from customers</t>
  </si>
  <si>
    <t xml:space="preserve">                -Despatch payable</t>
  </si>
  <si>
    <t xml:space="preserve">                -Demurrage payable</t>
  </si>
  <si>
    <t xml:space="preserve">                -Credit balance in sundry debtors</t>
  </si>
  <si>
    <t xml:space="preserve">                -Security deposit &amp; EMD</t>
  </si>
  <si>
    <t xml:space="preserve">                -Taxes &amp; Employees dues remittance pending</t>
  </si>
  <si>
    <t xml:space="preserve">                -Forward cover etc.</t>
  </si>
  <si>
    <t xml:space="preserve">                -Salaries &amp; Allowances</t>
  </si>
  <si>
    <t xml:space="preserve">                -Administrative Expenses</t>
  </si>
  <si>
    <t>MMTC LIMITED</t>
  </si>
  <si>
    <t xml:space="preserve">                Provision for Taxation</t>
  </si>
  <si>
    <t xml:space="preserve">                Earlier years</t>
  </si>
  <si>
    <t>Earnings per equity share of nominal value of Re.1/- each</t>
  </si>
  <si>
    <r>
      <t xml:space="preserve">      Basic ( in </t>
    </r>
    <r>
      <rPr>
        <sz val="8"/>
        <rFont val="Rupee Foradian"/>
        <family val="2"/>
      </rPr>
      <t>`)</t>
    </r>
  </si>
  <si>
    <r>
      <t xml:space="preserve">      Diluted (in </t>
    </r>
    <r>
      <rPr>
        <sz val="8"/>
        <rFont val="Rupee Foradian"/>
        <family val="2"/>
      </rPr>
      <t>`)</t>
    </r>
  </si>
  <si>
    <t>Difference in exchange (i)</t>
  </si>
  <si>
    <t xml:space="preserve">                -IOGL Balances</t>
  </si>
  <si>
    <t xml:space="preserve">                -Others</t>
  </si>
  <si>
    <t>Significant Accounting Policies</t>
  </si>
  <si>
    <t>The accompanying notes are an integral part of the financial statements</t>
  </si>
  <si>
    <t>-Office building</t>
  </si>
  <si>
    <t>-Staff Quarters</t>
  </si>
  <si>
    <t>-Office Building</t>
  </si>
  <si>
    <t>b) Stock given on loan/issued in kind</t>
  </si>
  <si>
    <t>-Staff Quarters/Residential Flats</t>
  </si>
  <si>
    <t>-Water supply, Sewerage &amp; Drainage</t>
  </si>
  <si>
    <t>-Electrical Installations</t>
  </si>
  <si>
    <t>-Roads &amp; Culverts</t>
  </si>
  <si>
    <t>-Audio/Fire/Airconditioning</t>
  </si>
  <si>
    <t>-Partitions</t>
  </si>
  <si>
    <t>-Others</t>
  </si>
  <si>
    <t>Computer/ Data Processors</t>
  </si>
  <si>
    <t xml:space="preserve">        -Despatch earned</t>
  </si>
  <si>
    <t xml:space="preserve">        -Claims</t>
  </si>
  <si>
    <t xml:space="preserve">        -Subsidy</t>
  </si>
  <si>
    <t xml:space="preserve">        -Other Trade Income</t>
  </si>
  <si>
    <t xml:space="preserve">        -Staff quarter rent</t>
  </si>
  <si>
    <t xml:space="preserve">        -Misc. Receipts</t>
  </si>
  <si>
    <t xml:space="preserve">        -Liabilities written back</t>
  </si>
  <si>
    <t>Railway Loop Line at BNHT</t>
  </si>
  <si>
    <t>-Building Under Construction</t>
  </si>
  <si>
    <t>Destinational Weight &amp; Analysis Risk</t>
  </si>
  <si>
    <t>Bonus/PRP</t>
  </si>
  <si>
    <t>Provision for Taxation</t>
  </si>
  <si>
    <t>Fringe Benefit Tax</t>
  </si>
  <si>
    <t>Proposed Dividend</t>
  </si>
  <si>
    <t>Tax on Proposed Dividend</t>
  </si>
  <si>
    <t>Corporate Social Responsibility Expenses</t>
  </si>
  <si>
    <t>Addition during year</t>
  </si>
  <si>
    <r>
      <t xml:space="preserve">28     </t>
    </r>
    <r>
      <rPr>
        <sz val="8"/>
        <rFont val="Verdana"/>
        <family val="2"/>
      </rPr>
      <t xml:space="preserve">Loans and Advances include Rs._______million (P.Y. Rs._______million) being notional value of ______Kgs. (P.Y. _____Kgs) of gold belonging to foreign suppliers issued on loan basis to the Associates/ Customers of the Company. </t>
    </r>
  </si>
  <si>
    <r>
      <t>30.</t>
    </r>
    <r>
      <rPr>
        <sz val="8"/>
        <rFont val="Verdana"/>
        <family val="2"/>
      </rPr>
      <t xml:space="preserve"> Particulars in respect of Loans and Advances in the nature of loans   as required by Clause    32 of the Listing Agreement:</t>
    </r>
  </si>
  <si>
    <r>
      <t>A)</t>
    </r>
    <r>
      <rPr>
        <sz val="8"/>
        <rFont val="Times New Roman"/>
        <family val="1"/>
      </rPr>
      <t> </t>
    </r>
    <r>
      <rPr>
        <sz val="8"/>
        <rFont val="Verdana"/>
        <family val="2"/>
      </rPr>
      <t>Loans and Advances given to Associates in the nature of advances (Interest Free):</t>
    </r>
  </si>
  <si>
    <t>Loanee</t>
  </si>
  <si>
    <t>Neelachal Ispaat Nigam Ltd.</t>
  </si>
  <si>
    <t>Balance as at 31.03.2012</t>
  </si>
  <si>
    <t xml:space="preserve">Maximum outstanding during the year   </t>
  </si>
  <si>
    <t>Rs ___million (P.Y. Rs._million)</t>
  </si>
  <si>
    <t>Rs ___million    (P.Y. Rs._million)</t>
  </si>
  <si>
    <t>B)  Particulars of Investments by the Loanees: Rs. NIL (PY Rs.NIL )</t>
  </si>
  <si>
    <r>
      <t xml:space="preserve">34. </t>
    </r>
    <r>
      <rPr>
        <sz val="8"/>
        <rFont val="Verdana"/>
        <family val="2"/>
      </rPr>
      <t>Whole time Directors are allowed usage of staff cars for private purposes up to 12,000 km per annum as specified in the contractual terms of appointment on payment of Rs. 400 per month.</t>
    </r>
  </si>
  <si>
    <r>
      <t xml:space="preserve">35.  </t>
    </r>
    <r>
      <rPr>
        <sz val="8"/>
        <rFont val="Verdana"/>
        <family val="2"/>
      </rPr>
      <t>Figures for the previous year have been regrouped / re-casted wherever considered necessary.</t>
    </r>
  </si>
  <si>
    <t>insert accounting policy from word file at this place</t>
  </si>
  <si>
    <r>
      <t>i</t>
    </r>
    <r>
      <rPr>
        <b/>
        <sz val="8"/>
        <rFont val="Verdana"/>
        <family val="2"/>
      </rPr>
      <t>i</t>
    </r>
    <r>
      <rPr>
        <b/>
        <sz val="8"/>
        <rFont val="Times New Roman"/>
        <family val="1"/>
      </rPr>
      <t xml:space="preserve">  </t>
    </r>
    <r>
      <rPr>
        <sz val="8"/>
        <rFont val="Verdana"/>
        <family val="2"/>
      </rPr>
      <t>An amount of Rs._________ million (P.Y. Rs.________ million) transferred from General Reserves for issuing bonus shares.</t>
    </r>
  </si>
  <si>
    <t xml:space="preserve">iii. VALUE OF IMPORTS </t>
  </si>
  <si>
    <t xml:space="preserve">CIF value of imports </t>
  </si>
  <si>
    <t>Goods-in-Trade</t>
  </si>
  <si>
    <t>Raw Materials</t>
  </si>
  <si>
    <t>Components &amp; Spare parts</t>
  </si>
  <si>
    <t>Capital Goods</t>
  </si>
  <si>
    <r>
      <t>iv.</t>
    </r>
    <r>
      <rPr>
        <b/>
        <sz val="8"/>
        <rFont val="Times New Roman"/>
        <family val="1"/>
      </rPr>
      <t xml:space="preserve">  </t>
    </r>
    <r>
      <rPr>
        <b/>
        <sz val="8"/>
        <rFont val="Verdana"/>
        <family val="2"/>
      </rPr>
      <t xml:space="preserve">EXPENDITURE IN FOREIGN CURRENCY </t>
    </r>
  </si>
  <si>
    <t>EXPENDITURE</t>
  </si>
  <si>
    <t>Royalty</t>
  </si>
  <si>
    <t xml:space="preserve">Know-how </t>
  </si>
  <si>
    <t>Professional and Consultation Fee</t>
  </si>
  <si>
    <t>Foreign Offices</t>
  </si>
  <si>
    <t>Foreign Tours</t>
  </si>
  <si>
    <t>Despatch/ Demurrage</t>
  </si>
  <si>
    <t>Load Port Supervision Charges</t>
  </si>
  <si>
    <t>Watchman Charges</t>
  </si>
  <si>
    <t>Ocean Freight</t>
  </si>
  <si>
    <t>Destinational weight &amp; Analysis Risk</t>
  </si>
  <si>
    <t>Agency Commission</t>
  </si>
  <si>
    <t>Other matters:-</t>
  </si>
  <si>
    <t>EARNINGS</t>
  </si>
  <si>
    <t>FOB value of goods exported</t>
  </si>
  <si>
    <t>Royalty, know-how, professional and consultancy fees</t>
  </si>
  <si>
    <t>Interest and Dividends</t>
  </si>
  <si>
    <t>Others (specify)</t>
  </si>
  <si>
    <r>
      <t>v</t>
    </r>
    <r>
      <rPr>
        <b/>
        <sz val="8"/>
        <rFont val="Verdana"/>
        <family val="2"/>
      </rPr>
      <t>.</t>
    </r>
    <r>
      <rPr>
        <b/>
        <sz val="8"/>
        <rFont val="Times New Roman"/>
        <family val="1"/>
      </rPr>
      <t> </t>
    </r>
    <r>
      <rPr>
        <b/>
        <sz val="8"/>
        <rFont val="Verdana"/>
        <family val="2"/>
      </rPr>
      <t xml:space="preserve">EARNINGS IN FOREIGN CURRENCY  </t>
    </r>
  </si>
  <si>
    <r>
      <t>v</t>
    </r>
    <r>
      <rPr>
        <b/>
        <sz val="8"/>
        <rFont val="Verdana"/>
        <family val="2"/>
      </rPr>
      <t>i.</t>
    </r>
    <r>
      <rPr>
        <b/>
        <sz val="8"/>
        <rFont val="Times New Roman"/>
        <family val="1"/>
      </rPr>
      <t> </t>
    </r>
    <r>
      <rPr>
        <b/>
        <sz val="8"/>
        <rFont val="Verdana"/>
        <family val="2"/>
      </rPr>
      <t xml:space="preserve">CONSUMPTION OF RAW MATERIALS, SPARE PARTS AND COMPONENTS </t>
    </r>
  </si>
  <si>
    <t>Spare Parts &amp; Components</t>
  </si>
  <si>
    <t>IMPORTED</t>
  </si>
  <si>
    <t>INDIGENOUS</t>
  </si>
  <si>
    <t>TOTAL VALUE</t>
  </si>
  <si>
    <r>
      <t xml:space="preserve">        </t>
    </r>
    <r>
      <rPr>
        <sz val="8"/>
        <rFont val="Verdana"/>
        <family val="2"/>
      </rPr>
      <t>i.</t>
    </r>
    <r>
      <rPr>
        <sz val="8"/>
        <rFont val="Times New Roman"/>
        <family val="1"/>
      </rPr>
      <t xml:space="preserve">            </t>
    </r>
    <r>
      <rPr>
        <sz val="8"/>
        <rFont val="Verdana"/>
        <family val="2"/>
      </rPr>
      <t xml:space="preserve">Value </t>
    </r>
  </si>
  <si>
    <r>
      <t xml:space="preserve">       </t>
    </r>
    <r>
      <rPr>
        <sz val="8"/>
        <rFont val="Verdana"/>
        <family val="2"/>
      </rPr>
      <t>ii.</t>
    </r>
    <r>
      <rPr>
        <sz val="8"/>
        <rFont val="Times New Roman"/>
        <family val="1"/>
      </rPr>
      <t xml:space="preserve">            </t>
    </r>
    <r>
      <rPr>
        <sz val="8"/>
        <rFont val="Verdana"/>
        <family val="2"/>
      </rPr>
      <t xml:space="preserve">As % of total </t>
    </r>
  </si>
  <si>
    <r>
      <t>vi</t>
    </r>
    <r>
      <rPr>
        <b/>
        <sz val="8"/>
        <rFont val="Verdana"/>
        <family val="2"/>
      </rPr>
      <t>i</t>
    </r>
    <r>
      <rPr>
        <b/>
        <sz val="8"/>
        <rFont val="Times New Roman"/>
        <family val="1"/>
      </rPr>
      <t xml:space="preserve">  </t>
    </r>
    <r>
      <rPr>
        <b/>
        <sz val="8"/>
        <rFont val="Verdana"/>
        <family val="2"/>
      </rPr>
      <t xml:space="preserve">DIVIDENDS REMITTED IN FOREIGN CURRENCY </t>
    </r>
  </si>
  <si>
    <t>Total amount of dividend remitted</t>
  </si>
  <si>
    <t>Total number of non-resident share holders</t>
  </si>
  <si>
    <t>Total no. of shares on which dividends were due</t>
  </si>
  <si>
    <t>Year to which dividends related</t>
  </si>
  <si>
    <r>
      <t>GENERAL DISCLOSURES:-</t>
    </r>
    <r>
      <rPr>
        <b/>
        <u/>
        <sz val="8"/>
        <rFont val="Verdana"/>
        <family val="2"/>
      </rPr>
      <t xml:space="preserve"> </t>
    </r>
  </si>
  <si>
    <t xml:space="preserve">    - Current tax</t>
  </si>
  <si>
    <t xml:space="preserve">  -  Deferred tax</t>
  </si>
  <si>
    <t>Profit Transferred from Regional Office</t>
  </si>
  <si>
    <t>Total (Net)</t>
  </si>
  <si>
    <r>
      <t>18 </t>
    </r>
    <r>
      <rPr>
        <sz val="8"/>
        <rFont val="Verdana"/>
        <family val="2"/>
      </rPr>
      <t>Duty Credit Authorization of Rs._____million (P.Y. Rs._____million) under the Target Plus Scheme 2004-05 which is valid upto 28.02.2011, is held by the Company for duty free imports as admissible under the Scheme.</t>
    </r>
  </si>
  <si>
    <r>
      <t xml:space="preserve">19  </t>
    </r>
    <r>
      <rPr>
        <sz val="8"/>
        <rFont val="Verdana"/>
        <family val="2"/>
      </rPr>
      <t>The ERP package ‘RAMCO’ implemented by the Company has more or less stabilized. Any further adjustments in processes and systems that may arise subsequent upon the findings of the systems audit shall be incorporated in due course.</t>
    </r>
  </si>
  <si>
    <r>
      <t xml:space="preserve">20 </t>
    </r>
    <r>
      <rPr>
        <sz val="8"/>
        <rFont val="Verdana"/>
        <family val="2"/>
      </rPr>
      <t>The employees benefits provided by the Company as required under Accounting Standard 15 (Revised) are as under:-</t>
    </r>
  </si>
  <si>
    <r>
      <t xml:space="preserve"> </t>
    </r>
    <r>
      <rPr>
        <sz val="8"/>
        <rFont val="Verdana"/>
        <family val="2"/>
      </rPr>
      <t>i.</t>
    </r>
    <r>
      <rPr>
        <sz val="8"/>
        <rFont val="Times New Roman"/>
        <family val="1"/>
      </rPr>
      <t xml:space="preserve">  </t>
    </r>
    <r>
      <rPr>
        <sz val="8"/>
        <rFont val="Verdana"/>
        <family val="2"/>
      </rPr>
      <t xml:space="preserve">Leave Encashment – Payable on separation to eligible employees who have accumulated earned and half pay leave.   Encashment of accumulated earned leave is also allowed leaving a minimum balance of 15 days twice in a year. </t>
    </r>
  </si>
  <si>
    <t>ii. Post Retirement Medical Benefit (PRMB) – Available to retired employees at empanelled hospitals for inpatient treatment and also for OPD treatment.</t>
  </si>
  <si>
    <t xml:space="preserve">                                                                              </t>
  </si>
  <si>
    <t>iv. Long Service Benefits : Long Service Benefits payable to the employees are as under:-</t>
  </si>
  <si>
    <r>
      <t>(a)</t>
    </r>
    <r>
      <rPr>
        <sz val="8"/>
        <rFont val="Times New Roman"/>
        <family val="1"/>
      </rPr>
      <t> </t>
    </r>
    <r>
      <rPr>
        <sz val="8"/>
        <rFont val="Verdana"/>
        <family val="2"/>
      </rPr>
      <t xml:space="preserve">Service Award amounting to </t>
    </r>
    <r>
      <rPr>
        <sz val="8"/>
        <rFont val="Rupee Foradian"/>
        <family val="2"/>
      </rPr>
      <t>`</t>
    </r>
    <r>
      <rPr>
        <sz val="8"/>
        <rFont val="Verdana"/>
        <family val="2"/>
      </rPr>
      <t xml:space="preserve"> 2500/- for each completed year of service is payable to the employees on superannuation/voluntary retirement scheme.</t>
    </r>
  </si>
  <si>
    <r>
      <t>(b)</t>
    </r>
    <r>
      <rPr>
        <sz val="8"/>
        <rFont val="Times New Roman"/>
        <family val="1"/>
      </rPr>
      <t xml:space="preserve">  </t>
    </r>
    <r>
      <rPr>
        <sz val="8"/>
        <rFont val="Verdana"/>
        <family val="2"/>
      </rPr>
      <t xml:space="preserve">Compassionate Gratuity amounting to </t>
    </r>
    <r>
      <rPr>
        <sz val="8"/>
        <rFont val="Rupee Foradian"/>
        <family val="2"/>
      </rPr>
      <t>`</t>
    </r>
    <r>
      <rPr>
        <sz val="8"/>
        <rFont val="Verdana"/>
        <family val="2"/>
      </rPr>
      <t xml:space="preserve"> 50,000/- is payable in lumpsum to the dependants of the employee due death in service.</t>
    </r>
  </si>
  <si>
    <t xml:space="preserve">Other disclosures as required under AS – 15(Revised) on ‘Employee Benefits’, in respect of defined benefit obligation are: </t>
  </si>
  <si>
    <r>
      <t>(a)</t>
    </r>
    <r>
      <rPr>
        <sz val="8"/>
        <rFont val="Times New Roman"/>
        <family val="1"/>
      </rPr>
      <t xml:space="preserve"> </t>
    </r>
    <r>
      <rPr>
        <sz val="8"/>
        <rFont val="Verdana"/>
        <family val="2"/>
      </rPr>
      <t>Reconciliation of present value of defined benefit obligations:</t>
    </r>
  </si>
  <si>
    <t>Benefit paid</t>
  </si>
  <si>
    <t>Gratuity</t>
  </si>
  <si>
    <t>Sick Leave Encashment</t>
  </si>
  <si>
    <t>Post Retirement Medical Benefit</t>
  </si>
  <si>
    <t>Long Service Benefits</t>
  </si>
  <si>
    <t>Earned Leave Encashment</t>
  </si>
  <si>
    <t>Sl. No.    Particulars</t>
  </si>
  <si>
    <t>(i)       Present value of projected benefit obligations as at 01/04/2011</t>
  </si>
  <si>
    <t>BALANCE SHEET &amp; PROFIT LOSS ACCOUNT</t>
  </si>
  <si>
    <t>a) Purchase</t>
  </si>
  <si>
    <t>(ii)     Interest cost</t>
  </si>
  <si>
    <t>(iii)    Current service cost</t>
  </si>
  <si>
    <t>(iv)    Benefit paid</t>
  </si>
  <si>
    <t>(v)    Actuarial(gain)/loss</t>
  </si>
  <si>
    <t xml:space="preserve">(vi)   Present value of obligation as at 31st March,2012 </t>
  </si>
  <si>
    <t xml:space="preserve">       (i+ii+iii-iv+v)</t>
  </si>
  <si>
    <r>
      <t>(b)</t>
    </r>
    <r>
      <rPr>
        <sz val="8"/>
        <rFont val="Times New Roman"/>
        <family val="1"/>
      </rPr>
      <t> </t>
    </r>
    <r>
      <rPr>
        <sz val="8"/>
        <rFont val="Verdana"/>
        <family val="2"/>
      </rPr>
      <t>Expenses recognized in the statement of Profit &amp; Loss A/c for the year ended 31</t>
    </r>
    <r>
      <rPr>
        <vertAlign val="superscript"/>
        <sz val="8"/>
        <rFont val="Verdana"/>
        <family val="2"/>
      </rPr>
      <t>st</t>
    </r>
    <r>
      <rPr>
        <sz val="8"/>
        <rFont val="Verdana"/>
        <family val="2"/>
      </rPr>
      <t xml:space="preserve"> March, 2012:  </t>
    </r>
  </si>
  <si>
    <t>(i)      Service cost</t>
  </si>
  <si>
    <t>(iii)    Expected return on plan assets</t>
  </si>
  <si>
    <t>(iv)   Net Actuarial (gain)/loss recognized in the period</t>
  </si>
  <si>
    <t xml:space="preserve">          (i+ii-iii+iv)</t>
  </si>
  <si>
    <t>(v)    Expenses recognized in the Profit &amp; Loss A/c</t>
  </si>
  <si>
    <t>(c ) Changes in the fair value of planned assets</t>
  </si>
  <si>
    <t>Fair value of plan assets as at 1.4.2011</t>
  </si>
  <si>
    <t>Actual return on plan assets</t>
  </si>
  <si>
    <t>Contribution by employer</t>
  </si>
  <si>
    <t>Actuarial gain/(loss)</t>
  </si>
  <si>
    <t>Fair value of plan assets as at 31.3.2012</t>
  </si>
  <si>
    <t>(d) Effect of one percentage point change in the assumed inflation rate in case of valuation of benefits under Post Retirement Medical Benefit scheme.</t>
  </si>
  <si>
    <t>One percentage Increase in inflation rate</t>
  </si>
  <si>
    <t>One percentage decrease in inflation rate</t>
  </si>
  <si>
    <t>Sl. No.   Particulars</t>
  </si>
  <si>
    <t>i)         Effect on the aggregate of the service cost and interest cost</t>
  </si>
  <si>
    <t>ii)       Effect on defined benefit obligation</t>
  </si>
  <si>
    <t>(e ) Actuarial assumptions:</t>
  </si>
  <si>
    <t>As at          31-03-2012</t>
  </si>
  <si>
    <t>Sl. No.     Description</t>
  </si>
  <si>
    <t>(ii)        Future cost increase</t>
  </si>
  <si>
    <t>Diminution in value of investment</t>
  </si>
  <si>
    <t>(iii)       Retirement age</t>
  </si>
  <si>
    <t>(i)         Discount rate (Per Annum)</t>
  </si>
  <si>
    <t>(iv)      Mortality table</t>
  </si>
  <si>
    <t>(v)       Withdrawal rates</t>
  </si>
  <si>
    <r>
      <t xml:space="preserve">22. </t>
    </r>
    <r>
      <rPr>
        <sz val="8"/>
        <rFont val="Verdana"/>
        <family val="2"/>
      </rPr>
      <t>Related Party Disclosures under AS-18 (As identified &amp; certified by the Management)</t>
    </r>
  </si>
  <si>
    <r>
      <t>A.</t>
    </r>
    <r>
      <rPr>
        <b/>
        <sz val="8"/>
        <rFont val="Times New Roman"/>
        <family val="1"/>
      </rPr>
      <t xml:space="preserve">  </t>
    </r>
    <r>
      <rPr>
        <b/>
        <sz val="8"/>
        <rFont val="Verdana"/>
        <family val="2"/>
      </rPr>
      <t>Name of the related parties and description of relationship:</t>
    </r>
  </si>
  <si>
    <r>
      <t>d)</t>
    </r>
    <r>
      <rPr>
        <sz val="8"/>
        <rFont val="Times New Roman"/>
        <family val="1"/>
      </rPr>
      <t xml:space="preserve">    </t>
    </r>
    <r>
      <rPr>
        <sz val="8"/>
        <rFont val="Verdana"/>
        <family val="2"/>
      </rPr>
      <t xml:space="preserve">Letters of Credit opened by the Company remaining outstanding Rs. _______  million (P.Y. Rs. ______ million). </t>
    </r>
  </si>
  <si>
    <r>
      <t>e)</t>
    </r>
    <r>
      <rPr>
        <sz val="8"/>
        <rFont val="Times New Roman"/>
        <family val="1"/>
      </rPr>
      <t xml:space="preserve">    </t>
    </r>
    <r>
      <rPr>
        <sz val="8"/>
        <rFont val="Verdana"/>
        <family val="2"/>
      </rPr>
      <t xml:space="preserve">Bills discounted with banks Rs._____   million (P.Y. Rs._____ million). </t>
    </r>
  </si>
  <si>
    <r>
      <t xml:space="preserve">                   </t>
    </r>
    <r>
      <rPr>
        <sz val="8"/>
        <rFont val="Verdana"/>
        <family val="2"/>
      </rPr>
      <t>ii.</t>
    </r>
    <r>
      <rPr>
        <sz val="8"/>
        <rFont val="Times New Roman"/>
        <family val="1"/>
      </rPr>
      <t xml:space="preserve">    </t>
    </r>
    <r>
      <rPr>
        <sz val="8"/>
        <rFont val="Verdana"/>
        <family val="2"/>
      </rPr>
      <t>Post Ret. Medical Benefits</t>
    </r>
  </si>
  <si>
    <r>
      <t xml:space="preserve">                 </t>
    </r>
    <r>
      <rPr>
        <sz val="8"/>
        <rFont val="Verdana"/>
        <family val="2"/>
      </rPr>
      <t>iv.</t>
    </r>
    <r>
      <rPr>
        <sz val="8"/>
        <rFont val="Times New Roman"/>
        <family val="1"/>
      </rPr>
      <t xml:space="preserve">    </t>
    </r>
    <r>
      <rPr>
        <sz val="8"/>
        <rFont val="Verdana"/>
        <family val="2"/>
      </rPr>
      <t>Service Award</t>
    </r>
  </si>
  <si>
    <r>
      <t>                 v</t>
    </r>
    <r>
      <rPr>
        <sz val="8"/>
        <rFont val="Verdana"/>
        <family val="2"/>
      </rPr>
      <t>.</t>
    </r>
    <r>
      <rPr>
        <sz val="8"/>
        <rFont val="Times New Roman"/>
        <family val="1"/>
      </rPr>
      <t xml:space="preserve">    </t>
    </r>
    <r>
      <rPr>
        <sz val="8"/>
        <rFont val="Verdana"/>
        <family val="2"/>
      </rPr>
      <t>Compassionate Gratuity</t>
    </r>
  </si>
  <si>
    <r>
      <t xml:space="preserve"> (Amount in </t>
    </r>
    <r>
      <rPr>
        <b/>
        <sz val="8"/>
        <rFont val="Rupee Foradian"/>
        <family val="2"/>
      </rPr>
      <t>`</t>
    </r>
    <r>
      <rPr>
        <b/>
        <sz val="8"/>
        <rFont val="Verdana"/>
        <family val="2"/>
      </rPr>
      <t xml:space="preserve"> )</t>
    </r>
  </si>
  <si>
    <t xml:space="preserve">    Non-current investments</t>
  </si>
  <si>
    <t xml:space="preserve">        Tangible assets</t>
  </si>
  <si>
    <t xml:space="preserve">        Intangible assets</t>
  </si>
  <si>
    <t xml:space="preserve">    Current investments</t>
  </si>
  <si>
    <t xml:space="preserve">    Inventories</t>
  </si>
  <si>
    <t xml:space="preserve">      Long-term borrowings</t>
  </si>
  <si>
    <t xml:space="preserve">      Reserves &amp; Surplus</t>
  </si>
  <si>
    <r>
      <t xml:space="preserve">                 </t>
    </r>
    <r>
      <rPr>
        <sz val="8"/>
        <rFont val="Verdana"/>
        <family val="2"/>
      </rPr>
      <t>vi.</t>
    </r>
    <r>
      <rPr>
        <sz val="8"/>
        <rFont val="Times New Roman"/>
        <family val="1"/>
      </rPr>
      <t>   </t>
    </r>
    <r>
      <rPr>
        <sz val="8"/>
        <rFont val="Verdana"/>
        <family val="2"/>
      </rPr>
      <t>Emp. Family Benefit Scheme</t>
    </r>
  </si>
  <si>
    <t xml:space="preserve">    x.  Others</t>
  </si>
  <si>
    <r>
      <t>f)</t>
    </r>
    <r>
      <rPr>
        <sz val="8"/>
        <rFont val="Times New Roman"/>
        <family val="1"/>
      </rPr>
      <t xml:space="preserve">    </t>
    </r>
    <r>
      <rPr>
        <sz val="8"/>
        <rFont val="Verdana"/>
        <family val="2"/>
      </rPr>
      <t>Sales Tax Demand of Rs. ______ million (P.Y. Rs.____ million) in dispute against which Rs. _____ million (P.Y. Rs. ______ million) has been deposited and Rs. _____ million (P.Y. Rs. ______ million) covered by bank guarantees.</t>
    </r>
  </si>
  <si>
    <r>
      <t>g)</t>
    </r>
    <r>
      <rPr>
        <sz val="8"/>
        <rFont val="Times New Roman"/>
        <family val="1"/>
      </rPr>
      <t xml:space="preserve">    </t>
    </r>
    <r>
      <rPr>
        <sz val="8"/>
        <rFont val="Verdana"/>
        <family val="2"/>
      </rPr>
      <t xml:space="preserve">Service Tax demand in respect of business auxillary service amounting to Rs ______ million (L.Y. Rs ______ million) pending before Customs, Excise &amp; Service Tax Department. </t>
    </r>
  </si>
  <si>
    <r>
      <t>h)</t>
    </r>
    <r>
      <rPr>
        <sz val="8"/>
        <rFont val="Times New Roman"/>
        <family val="1"/>
      </rPr>
      <t xml:space="preserve">    </t>
    </r>
    <r>
      <rPr>
        <sz val="8"/>
        <rFont val="Verdana"/>
        <family val="2"/>
      </rPr>
      <t>Bonds have been furnished to Customs Authorities for performance, submission of original documents, etc, some of which are still outstanding. The amount of un-expired Bonds is Rs. _____ million as on ______ 31.03.2012 (PY Rs. ______million).</t>
    </r>
  </si>
  <si>
    <r>
      <t xml:space="preserve">8    </t>
    </r>
    <r>
      <rPr>
        <b/>
        <sz val="8"/>
        <rFont val="Verdana"/>
        <family val="2"/>
      </rPr>
      <t>REVENUE FROM OPERATIONS</t>
    </r>
  </si>
  <si>
    <r>
      <t xml:space="preserve">9     </t>
    </r>
    <r>
      <rPr>
        <b/>
        <sz val="8"/>
        <rFont val="Verdana"/>
        <family val="2"/>
      </rPr>
      <t>OTHER INCOME</t>
    </r>
  </si>
  <si>
    <r>
      <t>10  </t>
    </r>
    <r>
      <rPr>
        <b/>
        <sz val="8"/>
        <rFont val="Verdana"/>
        <family val="2"/>
      </rPr>
      <t>COST OF MATERIAL CONSUMED</t>
    </r>
  </si>
  <si>
    <r>
      <t xml:space="preserve">11    </t>
    </r>
    <r>
      <rPr>
        <b/>
        <sz val="8"/>
        <rFont val="Verdana"/>
        <family val="2"/>
      </rPr>
      <t>PURCHASES OF STOCK-IN-TRADE</t>
    </r>
  </si>
  <si>
    <r>
      <t xml:space="preserve">12   </t>
    </r>
    <r>
      <rPr>
        <b/>
        <sz val="8"/>
        <rFont val="Verdana"/>
        <family val="2"/>
      </rPr>
      <t xml:space="preserve">CHANGES IN INVENTORIES </t>
    </r>
  </si>
  <si>
    <t>14. FINANCE COSTS</t>
  </si>
  <si>
    <r>
      <t>15</t>
    </r>
    <r>
      <rPr>
        <b/>
        <sz val="8"/>
        <rFont val="Times New Roman"/>
        <family val="1"/>
      </rPr>
      <t>   </t>
    </r>
    <r>
      <rPr>
        <b/>
        <sz val="8"/>
        <rFont val="Verdana"/>
        <family val="2"/>
      </rPr>
      <t>OTHER EXPENSES</t>
    </r>
  </si>
  <si>
    <r>
      <t>16</t>
    </r>
    <r>
      <rPr>
        <b/>
        <sz val="8"/>
        <rFont val="Times New Roman"/>
        <family val="1"/>
      </rPr>
      <t>   EXCEPTIONAL ITEMS</t>
    </r>
  </si>
  <si>
    <r>
      <t>j)</t>
    </r>
    <r>
      <rPr>
        <sz val="8"/>
        <rFont val="Times New Roman"/>
        <family val="1"/>
      </rPr>
      <t xml:space="preserve">    </t>
    </r>
    <r>
      <rPr>
        <sz val="8"/>
        <rFont val="Verdana"/>
        <family val="2"/>
      </rPr>
      <t xml:space="preserve">In some of the cases amounts included under contingent liabilities relate to commodities handled on Govt. of India’s account and hence the same would be recoverable from the Govt. of India.   </t>
    </r>
  </si>
  <si>
    <t>II. Commitments</t>
  </si>
  <si>
    <r>
      <t>a)</t>
    </r>
    <r>
      <rPr>
        <sz val="8"/>
        <rFont val="Times New Roman"/>
        <family val="1"/>
      </rPr>
      <t xml:space="preserve">    </t>
    </r>
    <r>
      <rPr>
        <sz val="8"/>
        <rFont val="Verdana"/>
        <family val="2"/>
      </rPr>
      <t>Estimated amount of contracts remaining to be executed on capital account and not provided for Rs. _____million (P.Y. Rs. _____ million).</t>
    </r>
  </si>
  <si>
    <t xml:space="preserve">             Loans &amp; Advances to PSUs/Other Companies</t>
  </si>
  <si>
    <t xml:space="preserve">             Interest Accrued &amp; Due/ Not Due</t>
  </si>
  <si>
    <t xml:space="preserve">             Loans to Employees</t>
  </si>
  <si>
    <t xml:space="preserve">     -Staff Quarters Rent</t>
  </si>
  <si>
    <t xml:space="preserve">     -Misc Receipts</t>
  </si>
  <si>
    <t xml:space="preserve">     -Liabilities Written Back</t>
  </si>
  <si>
    <r>
      <t>17</t>
    </r>
    <r>
      <rPr>
        <b/>
        <sz val="8"/>
        <rFont val="Times New Roman"/>
        <family val="1"/>
      </rPr>
      <t>   EXCEPTIONAL ITEMS</t>
    </r>
  </si>
  <si>
    <t>Exceptional item includes the following:-</t>
  </si>
  <si>
    <t xml:space="preserve">Write-down of inventories to net realisable value and its reversal </t>
  </si>
  <si>
    <t>Reversal of any provisions for the cost of resturcturing</t>
  </si>
  <si>
    <t>Disposals of items of fixed assets</t>
  </si>
  <si>
    <t>Disposals of long-term investments</t>
  </si>
  <si>
    <t>Legislative changes having retrospective application</t>
  </si>
  <si>
    <t>Litigation settlements</t>
  </si>
  <si>
    <t>Based on interim orders of Hon’ble Court of Small Causes in the matter of mesne profit for the period from _______to ________ relating to office premises at Mumbai, an amount of Rs____ million has been deposited with the Court and a bank guarantee of Rs ______ million is also submitted pending decision on the appeal. Liability provision has been made in the accounts for the full amount. Interest, if any, on the above will be provided on final outcome of the case.</t>
  </si>
  <si>
    <t xml:space="preserve">                -Sundry Creditors-Others</t>
  </si>
  <si>
    <r>
      <t xml:space="preserve">(Amount in  </t>
    </r>
    <r>
      <rPr>
        <b/>
        <sz val="8"/>
        <rFont val="Rupee Foradian"/>
        <family val="2"/>
      </rPr>
      <t>`</t>
    </r>
    <r>
      <rPr>
        <b/>
        <sz val="8"/>
        <rFont val="Verdana"/>
        <family val="2"/>
      </rPr>
      <t xml:space="preserve"> )</t>
    </r>
  </si>
  <si>
    <r>
      <t xml:space="preserve">(Amount in </t>
    </r>
    <r>
      <rPr>
        <b/>
        <sz val="8"/>
        <rFont val="Rupee Foradian"/>
        <family val="2"/>
      </rPr>
      <t>`</t>
    </r>
    <r>
      <rPr>
        <b/>
        <sz val="8"/>
        <rFont val="Verdana"/>
        <family val="2"/>
      </rPr>
      <t xml:space="preserve"> )</t>
    </r>
  </si>
  <si>
    <r>
      <t>b)</t>
    </r>
    <r>
      <rPr>
        <sz val="8"/>
        <rFont val="Times New Roman"/>
        <family val="1"/>
      </rPr>
      <t xml:space="preserve">    </t>
    </r>
    <r>
      <rPr>
        <sz val="8"/>
        <rFont val="Verdana"/>
        <family val="2"/>
      </rPr>
      <t>uncalled liability on shares and other investment partly paid is Rs. NIL (P.Y. Rs. NIL).</t>
    </r>
  </si>
  <si>
    <r>
      <t>c)</t>
    </r>
    <r>
      <rPr>
        <sz val="8"/>
        <rFont val="Times New Roman"/>
        <family val="1"/>
      </rPr>
      <t xml:space="preserve">    </t>
    </r>
    <r>
      <rPr>
        <sz val="8"/>
        <rFont val="Verdana"/>
        <family val="2"/>
      </rPr>
      <t>Other commitments ( specify nature)</t>
    </r>
  </si>
  <si>
    <r>
      <t xml:space="preserve">9    </t>
    </r>
    <r>
      <rPr>
        <b/>
        <sz val="8"/>
        <rFont val="Verdana"/>
        <family val="2"/>
      </rPr>
      <t>REVENUE FROM OPERATIONS</t>
    </r>
  </si>
  <si>
    <t xml:space="preserve">Less: </t>
  </si>
  <si>
    <r>
      <t>a.</t>
    </r>
    <r>
      <rPr>
        <sz val="8"/>
        <rFont val="Times New Roman"/>
        <family val="1"/>
      </rPr>
      <t xml:space="preserve">     </t>
    </r>
    <r>
      <rPr>
        <sz val="8"/>
        <rFont val="Verdana"/>
        <family val="2"/>
      </rPr>
      <t>Sale of products</t>
    </r>
  </si>
  <si>
    <r>
      <t>b.</t>
    </r>
    <r>
      <rPr>
        <sz val="8"/>
        <rFont val="Times New Roman"/>
        <family val="1"/>
      </rPr>
      <t xml:space="preserve">     </t>
    </r>
    <r>
      <rPr>
        <sz val="8"/>
        <rFont val="Verdana"/>
        <family val="2"/>
      </rPr>
      <t>Sale of services</t>
    </r>
  </si>
  <si>
    <r>
      <t>c.</t>
    </r>
    <r>
      <rPr>
        <sz val="8"/>
        <rFont val="Times New Roman"/>
        <family val="1"/>
      </rPr>
      <t xml:space="preserve">      </t>
    </r>
    <r>
      <rPr>
        <sz val="8"/>
        <rFont val="Verdana"/>
        <family val="2"/>
      </rPr>
      <t>Other operating revenue</t>
    </r>
  </si>
  <si>
    <r>
      <t>d.</t>
    </r>
    <r>
      <rPr>
        <sz val="8"/>
        <rFont val="Times New Roman"/>
        <family val="1"/>
      </rPr>
      <t xml:space="preserve">     </t>
    </r>
    <r>
      <rPr>
        <sz val="8"/>
        <rFont val="Verdana"/>
        <family val="2"/>
      </rPr>
      <t>Excise Duty</t>
    </r>
  </si>
  <si>
    <t>Sale of canalized urea to Deptt. of Fertilisers (DOF), Government of India is made based on allocation letters issued by DOF and by transferring shipping documents. However, no separate agreement is signed with DOF.</t>
  </si>
  <si>
    <r>
      <t xml:space="preserve">10     </t>
    </r>
    <r>
      <rPr>
        <b/>
        <sz val="8"/>
        <rFont val="Verdana"/>
        <family val="2"/>
      </rPr>
      <t>OTHER INCOME</t>
    </r>
  </si>
  <si>
    <t>-Interest on fixed deposits</t>
  </si>
  <si>
    <t>-Interest from customers on amount overdue</t>
  </si>
  <si>
    <t>-others</t>
  </si>
  <si>
    <t xml:space="preserve">     -foreign exchange gain</t>
  </si>
  <si>
    <r>
      <t>a.</t>
    </r>
    <r>
      <rPr>
        <sz val="8"/>
        <rFont val="Times New Roman"/>
        <family val="1"/>
      </rPr>
      <t xml:space="preserve">     </t>
    </r>
    <r>
      <rPr>
        <sz val="8"/>
        <rFont val="Verdana"/>
        <family val="2"/>
      </rPr>
      <t xml:space="preserve">Interest </t>
    </r>
  </si>
  <si>
    <r>
      <t>b.</t>
    </r>
    <r>
      <rPr>
        <sz val="8"/>
        <rFont val="Times New Roman"/>
        <family val="1"/>
      </rPr>
      <t xml:space="preserve">     </t>
    </r>
    <r>
      <rPr>
        <sz val="8"/>
        <rFont val="Verdana"/>
        <family val="2"/>
      </rPr>
      <t>Dividend from subsidiary company</t>
    </r>
  </si>
  <si>
    <t xml:space="preserve">     Less: foreign exchange loss </t>
  </si>
  <si>
    <r>
      <t>11  </t>
    </r>
    <r>
      <rPr>
        <b/>
        <sz val="8"/>
        <rFont val="Verdana"/>
        <family val="2"/>
      </rPr>
      <t>COST OF MATERIAL CONSUMED</t>
    </r>
  </si>
  <si>
    <t>Raw Material</t>
  </si>
  <si>
    <t>Packing Material</t>
  </si>
  <si>
    <t>Consumables</t>
  </si>
  <si>
    <t>Loose Tools</t>
  </si>
  <si>
    <r>
      <t xml:space="preserve">12    </t>
    </r>
    <r>
      <rPr>
        <b/>
        <sz val="8"/>
        <rFont val="Verdana"/>
        <family val="2"/>
      </rPr>
      <t>PURCHASES OF STOCK-IN-TRADE</t>
    </r>
  </si>
  <si>
    <t>Product Groups</t>
  </si>
  <si>
    <t>Precious Metals</t>
  </si>
  <si>
    <t>Non ferrous Metals</t>
  </si>
  <si>
    <t>Fertilizers</t>
  </si>
  <si>
    <t>Minerals</t>
  </si>
  <si>
    <t>Agro Products</t>
  </si>
  <si>
    <t>Coal and Hydrocarbons</t>
  </si>
  <si>
    <t>General Trade</t>
  </si>
  <si>
    <r>
      <t xml:space="preserve">13   </t>
    </r>
    <r>
      <rPr>
        <b/>
        <sz val="8"/>
        <rFont val="Verdana"/>
        <family val="2"/>
      </rPr>
      <t xml:space="preserve">CHANGES IN INVENTORIES </t>
    </r>
  </si>
  <si>
    <t>Opening Balance</t>
  </si>
  <si>
    <t>Closing Balance</t>
  </si>
  <si>
    <t>Change in inventory of Finished Goods</t>
  </si>
  <si>
    <t>Change in inventory of Work-in-progress</t>
  </si>
  <si>
    <t>Opening balance</t>
  </si>
  <si>
    <t>Closing balance</t>
  </si>
  <si>
    <t>Change in inventory of Stock-in-Trade</t>
  </si>
  <si>
    <t>TOTAL CHANGE IN INVENTORIES</t>
  </si>
  <si>
    <r>
      <t>A.</t>
    </r>
    <r>
      <rPr>
        <sz val="8"/>
        <rFont val="Times New Roman"/>
        <family val="1"/>
      </rPr>
      <t xml:space="preserve">    </t>
    </r>
    <r>
      <rPr>
        <sz val="8"/>
        <rFont val="Verdana"/>
        <family val="2"/>
      </rPr>
      <t>FINISHED GOODS</t>
    </r>
  </si>
  <si>
    <t>Prior period items (ii)</t>
  </si>
  <si>
    <t>Miscellaneous expenses (iii)</t>
  </si>
  <si>
    <t>a) Net gain or loss on foreign currency translation</t>
  </si>
  <si>
    <r>
      <t>B.</t>
    </r>
    <r>
      <rPr>
        <sz val="8"/>
        <rFont val="Times New Roman"/>
        <family val="1"/>
      </rPr>
      <t xml:space="preserve">    </t>
    </r>
    <r>
      <rPr>
        <sz val="8"/>
        <rFont val="Verdana"/>
        <family val="2"/>
      </rPr>
      <t>WORK-IN-PROGRESS</t>
    </r>
  </si>
  <si>
    <r>
      <t>C.</t>
    </r>
    <r>
      <rPr>
        <sz val="8"/>
        <rFont val="Times New Roman"/>
        <family val="1"/>
      </rPr>
      <t xml:space="preserve">   </t>
    </r>
    <r>
      <rPr>
        <sz val="8"/>
        <rFont val="Verdana"/>
        <family val="2"/>
      </rPr>
      <t>STOCK-IN-TRADE</t>
    </r>
  </si>
  <si>
    <r>
      <t xml:space="preserve">14   </t>
    </r>
    <r>
      <rPr>
        <b/>
        <sz val="8"/>
        <rFont val="Verdana"/>
        <family val="2"/>
      </rPr>
      <t>EMPLOYEE BENEFITS EXPENSE</t>
    </r>
  </si>
  <si>
    <t>Salaries and wages include:-</t>
  </si>
  <si>
    <t>Contribution to provident fund and other funds:-</t>
  </si>
  <si>
    <t xml:space="preserve">Liability of Rs ____ million (P.Y. Rs _____ million) towards perquisite &amp; allowances and Rs ______ million (P.Y. Rs.______ million) towards superannuation benefit has been made during the year as per DPE guidelines for wage revision. </t>
  </si>
  <si>
    <t>15. FINANCE COSTS</t>
  </si>
  <si>
    <t xml:space="preserve">EQUITY AND LIABILITIES </t>
  </si>
  <si>
    <t>SHAREHOLDERS' FUNDS</t>
  </si>
  <si>
    <t xml:space="preserve">      Share Capital</t>
  </si>
  <si>
    <t xml:space="preserve">       Reserves &amp; Surplus</t>
  </si>
  <si>
    <t xml:space="preserve">       Money received against share warrants</t>
  </si>
  <si>
    <t>SHARE APPLICATION MONEY PENDING ALLOTMENT</t>
  </si>
  <si>
    <t>NON-CURRENT LIABILITIES</t>
  </si>
  <si>
    <t xml:space="preserve">       Long-term borrowings</t>
  </si>
  <si>
    <t xml:space="preserve">      Deferred tax liabilities (net)</t>
  </si>
  <si>
    <t xml:space="preserve">      Other Long term liabilities </t>
  </si>
  <si>
    <t xml:space="preserve">      Long-term provisions</t>
  </si>
  <si>
    <t>CURRENT LIABILITIES</t>
  </si>
  <si>
    <t xml:space="preserve">MMTC Transnational Pte. Ltd. (Fully paid up 1,461,502 Equity shares of S $ 1 each (P.Y. Fully paid up 1,461,502 Equity shares of S $ 1 each)) </t>
  </si>
  <si>
    <t>Fully paid up 289,342,744 Equity shares of Rs.10/- each ( P.Y. Fully paid up 199,000,000 Equity shares of Rs. 10/-  each)</t>
  </si>
  <si>
    <t>Fully paid up 13,000 Equity shares of Rs.10/- each( P.Y. Fully paid up 13,000 Equity shares of Rs.10/-  each)</t>
  </si>
  <si>
    <t>Fully paid 4,750,000 Equity shares of Rs.10/- each (P.Y. Fully paid 4,750,000 Equity shares of Rs.10/- each)</t>
  </si>
  <si>
    <t>Fully paid 2,600 Equity shares of Rs.10/- each (P.Y. Fully paid 2,600 Equity shares of Rs.10/- each)</t>
  </si>
  <si>
    <t>Fully paid 2,600 Equity shares of Rs.10/-  each (P.Y. Fully paid 2,600 Equity shares of Rs.10/-  each)</t>
  </si>
  <si>
    <t>Fully paid 15,600,000 Equity shares of Rs.10/- each (P.Y. Fully paid 15,600,000 Equity shares of Rs.10/-  each)</t>
  </si>
  <si>
    <t>Fully paid 33,800,000 Equity shares of Rs.10/- each (P.Y. Fully paid 33,800,000 Equity shares of Rs.10/- each)</t>
  </si>
  <si>
    <t>Fully paid 2,506,400 Equity shares of Rs.10/- each (P.Y. Fully paid 2,506,400 Equity shares of Rs.10/- each)</t>
  </si>
  <si>
    <t>Fully paid 3,000,000 Equity shares of Rs.10/- each (P.Y. Fully paid 3,000,000 Equity shares of Rs.10/- each)</t>
  </si>
  <si>
    <t>Fully paid 52,000,000 Equity shares of Rs.5/- each (P.Y. Fully paid 52,000,000 Equity shares of Rs.5/- each)</t>
  </si>
  <si>
    <t xml:space="preserve">Fully paid 26,000 Equity shares of Rs.10/- each (P.Y. Fully paid 13,000 Equity shares of Rs.10/- each)) </t>
  </si>
  <si>
    <t>9% Govt. Stock 2013 (P.Y. Rs 0.03 million)</t>
  </si>
  <si>
    <t xml:space="preserve">       Short-term borrowings</t>
  </si>
  <si>
    <t xml:space="preserve">      Trade payables</t>
  </si>
  <si>
    <t xml:space="preserve">      Other current liabilities </t>
  </si>
  <si>
    <t xml:space="preserve">      Short-term provisions</t>
  </si>
  <si>
    <t xml:space="preserve">                                 TOTAL :</t>
  </si>
  <si>
    <t>ASSETS</t>
  </si>
  <si>
    <t>NON-CURRENT ASSETS</t>
  </si>
  <si>
    <t xml:space="preserve">      Fixed Assets</t>
  </si>
  <si>
    <t xml:space="preserve">         Tangible assets</t>
  </si>
  <si>
    <t>6.1.1</t>
  </si>
  <si>
    <t xml:space="preserve">          Intangible assets</t>
  </si>
  <si>
    <t>6.1.2</t>
  </si>
  <si>
    <t xml:space="preserve">        Capital Work-in-progress</t>
  </si>
  <si>
    <t>6.1.3</t>
  </si>
  <si>
    <t xml:space="preserve">        Intangible assets under development</t>
  </si>
  <si>
    <t>6.1.4</t>
  </si>
  <si>
    <t xml:space="preserve">     Non-current investments</t>
  </si>
  <si>
    <t xml:space="preserve">    Deferred tax assets (net)</t>
  </si>
  <si>
    <t xml:space="preserve">    Long-term loans and advances</t>
  </si>
  <si>
    <t xml:space="preserve">    Other non-current assets</t>
  </si>
  <si>
    <t>CURRENT ASSETS</t>
  </si>
  <si>
    <t xml:space="preserve">     Current investments</t>
  </si>
  <si>
    <t xml:space="preserve">     Inventories</t>
  </si>
  <si>
    <t xml:space="preserve">    Trade receivables</t>
  </si>
  <si>
    <t xml:space="preserve">    Cash and Bank Balances</t>
  </si>
  <si>
    <t xml:space="preserve">    Short-term loans and advances</t>
  </si>
  <si>
    <t xml:space="preserve">    Other current assets</t>
  </si>
  <si>
    <t xml:space="preserve">                       Total :</t>
  </si>
  <si>
    <t>STATEMENT OF PROFIT AND LOSS  FOR THE YEAR ENDED 31 MARCH, 2012</t>
  </si>
  <si>
    <t>INCOME</t>
  </si>
  <si>
    <t>Revenue from operations</t>
  </si>
  <si>
    <t>Other Income</t>
  </si>
  <si>
    <t> 10</t>
  </si>
  <si>
    <t xml:space="preserve">Total Revenue </t>
  </si>
  <si>
    <t>EXPENSES</t>
  </si>
  <si>
    <t xml:space="preserve">Cost of materials consumed </t>
  </si>
  <si>
    <t> 11</t>
  </si>
  <si>
    <t>Purchases of Stock-in-Trade</t>
  </si>
  <si>
    <t> 12</t>
  </si>
  <si>
    <t>Changes in inventories of finished goods, work-in-progress and Stock-in-Trade</t>
  </si>
  <si>
    <t>JJC</t>
  </si>
  <si>
    <t>6.1.1 Tangible Assets</t>
  </si>
  <si>
    <t>(` in million)</t>
  </si>
  <si>
    <t>6.1.2  Intangible Assets</t>
  </si>
  <si>
    <t>6.1.3    Capital work-in-progress</t>
  </si>
  <si>
    <t>Employee benefits expense</t>
  </si>
  <si>
    <t>Finance costs</t>
  </si>
  <si>
    <t> 15</t>
  </si>
  <si>
    <t>Depreciation and amortization expense</t>
  </si>
  <si>
    <t>Other expenses</t>
  </si>
  <si>
    <t> 16</t>
  </si>
  <si>
    <t>Total expenses</t>
  </si>
  <si>
    <t>Profit before exceptional and extraordinary items and tax</t>
  </si>
  <si>
    <t>Exceptional Items</t>
  </si>
  <si>
    <t>-As Margin money/under lien</t>
  </si>
  <si>
    <r>
      <t>A.</t>
    </r>
    <r>
      <rPr>
        <b/>
        <sz val="8"/>
        <rFont val="Times New Roman"/>
        <family val="1"/>
      </rPr>
      <t xml:space="preserve">    </t>
    </r>
    <r>
      <rPr>
        <b/>
        <sz val="8"/>
        <rFont val="Verdana"/>
        <family val="2"/>
      </rPr>
      <t>SECURITY DEPOSITS</t>
    </r>
  </si>
  <si>
    <r>
      <t>B.</t>
    </r>
    <r>
      <rPr>
        <b/>
        <sz val="8"/>
        <rFont val="Times New Roman"/>
        <family val="1"/>
      </rPr>
      <t>   LOANS AND ADVANCES TO RELATED PARTIES</t>
    </r>
  </si>
  <si>
    <r>
      <t>C.</t>
    </r>
    <r>
      <rPr>
        <b/>
        <sz val="8"/>
        <rFont val="Times New Roman"/>
        <family val="1"/>
      </rPr>
      <t xml:space="preserve">    </t>
    </r>
    <r>
      <rPr>
        <b/>
        <sz val="8"/>
        <rFont val="Verdana"/>
        <family val="2"/>
      </rPr>
      <t>OTHER LOANS AND ADVANCES</t>
    </r>
  </si>
  <si>
    <t>4.1 OTHER LONG TERM LIABILITIES</t>
  </si>
  <si>
    <t>4.2 LONG TERM PROVISIONS</t>
  </si>
  <si>
    <t>Reserves</t>
  </si>
  <si>
    <t>Add: Tranferred from Surplus</t>
  </si>
  <si>
    <t xml:space="preserve">Less: Deduction </t>
  </si>
  <si>
    <t>Surplus</t>
  </si>
  <si>
    <t>Amount available for appropriation</t>
  </si>
  <si>
    <r>
      <t>iii.</t>
    </r>
    <r>
      <rPr>
        <sz val="8"/>
        <rFont val="Times New Roman"/>
        <family val="1"/>
      </rPr>
      <t xml:space="preserve">   </t>
    </r>
    <r>
      <rPr>
        <sz val="8"/>
        <rFont val="Verdana"/>
        <family val="2"/>
      </rPr>
      <t xml:space="preserve">Doubtful (Bullion Receivable) </t>
    </r>
    <r>
      <rPr>
        <b/>
        <sz val="8"/>
        <rFont val="Verdana"/>
        <family val="2"/>
      </rPr>
      <t>*</t>
    </r>
  </si>
  <si>
    <t>Profit before extraordinary items and tax</t>
  </si>
  <si>
    <t>Extraordinary Items</t>
  </si>
  <si>
    <t>Profit before tax</t>
  </si>
  <si>
    <t>Tax expense:</t>
  </si>
  <si>
    <t xml:space="preserve">      Current tax</t>
  </si>
  <si>
    <t xml:space="preserve">     Deferred tax</t>
  </si>
  <si>
    <t>Profit for the period from continuing operations</t>
  </si>
  <si>
    <t>Profit from discontinuing operations</t>
  </si>
  <si>
    <t>Tax expense of discontinuing operations</t>
  </si>
  <si>
    <r>
      <t>d)</t>
    </r>
    <r>
      <rPr>
        <b/>
        <sz val="8"/>
        <rFont val="Times New Roman"/>
        <family val="1"/>
      </rPr>
      <t>    Others</t>
    </r>
  </si>
  <si>
    <r>
      <t xml:space="preserve">    ii.</t>
    </r>
    <r>
      <rPr>
        <b/>
        <sz val="8"/>
        <rFont val="Times New Roman"/>
        <family val="1"/>
      </rPr>
      <t xml:space="preserve">   </t>
    </r>
    <r>
      <rPr>
        <b/>
        <sz val="8"/>
        <rFont val="Verdana"/>
        <family val="2"/>
      </rPr>
      <t>United Stock Exchange Limited</t>
    </r>
  </si>
  <si>
    <r>
      <rPr>
        <b/>
        <sz val="8"/>
        <rFont val="Verdana"/>
        <family val="2"/>
      </rPr>
      <t>i.</t>
    </r>
    <r>
      <rPr>
        <b/>
        <sz val="8"/>
        <rFont val="Times New Roman"/>
        <family val="1"/>
      </rPr>
      <t xml:space="preserve">   </t>
    </r>
    <r>
      <rPr>
        <b/>
        <sz val="8"/>
        <rFont val="Verdana"/>
        <family val="2"/>
      </rPr>
      <t>Greater Noida Integrated Ware- housing Pvt. Ltd.</t>
    </r>
  </si>
  <si>
    <r>
      <t xml:space="preserve">    </t>
    </r>
    <r>
      <rPr>
        <b/>
        <sz val="8"/>
        <rFont val="Verdana"/>
        <family val="2"/>
      </rPr>
      <t>ii.</t>
    </r>
    <r>
      <rPr>
        <b/>
        <sz val="8"/>
        <rFont val="Times New Roman"/>
        <family val="1"/>
      </rPr>
      <t xml:space="preserve">   </t>
    </r>
    <r>
      <rPr>
        <b/>
        <sz val="8"/>
        <rFont val="Verdana"/>
        <family val="2"/>
      </rPr>
      <t xml:space="preserve">Free Trade Ware- housing Pvt. Ltd. </t>
    </r>
  </si>
  <si>
    <r>
      <t xml:space="preserve">  </t>
    </r>
    <r>
      <rPr>
        <b/>
        <sz val="8"/>
        <rFont val="Verdana"/>
        <family val="2"/>
      </rPr>
      <t>iii.</t>
    </r>
    <r>
      <rPr>
        <b/>
        <sz val="8"/>
        <rFont val="Times New Roman"/>
        <family val="1"/>
      </rPr>
      <t xml:space="preserve">   </t>
    </r>
    <r>
      <rPr>
        <b/>
        <sz val="8"/>
        <rFont val="Verdana"/>
        <family val="2"/>
      </rPr>
      <t>MMTC Pamp India Pvt. Ltd.</t>
    </r>
  </si>
  <si>
    <r>
      <t>   i</t>
    </r>
    <r>
      <rPr>
        <b/>
        <sz val="8"/>
        <rFont val="Verdana"/>
        <family val="2"/>
      </rPr>
      <t>v.</t>
    </r>
    <r>
      <rPr>
        <b/>
        <sz val="8"/>
        <rFont val="Times New Roman"/>
        <family val="1"/>
      </rPr>
      <t xml:space="preserve">   </t>
    </r>
    <r>
      <rPr>
        <b/>
        <sz val="8"/>
        <rFont val="Verdana"/>
        <family val="2"/>
      </rPr>
      <t>SICAL Iron Ore Terminal Limited</t>
    </r>
  </si>
  <si>
    <r>
      <t xml:space="preserve">  </t>
    </r>
    <r>
      <rPr>
        <b/>
        <sz val="8"/>
        <rFont val="Verdana"/>
        <family val="2"/>
      </rPr>
      <t>v.</t>
    </r>
    <r>
      <rPr>
        <b/>
        <sz val="8"/>
        <rFont val="Times New Roman"/>
        <family val="1"/>
      </rPr>
      <t xml:space="preserve">   </t>
    </r>
    <r>
      <rPr>
        <b/>
        <sz val="8"/>
        <rFont val="Verdana"/>
        <family val="2"/>
      </rPr>
      <t>MMTC Gitanjali Pvt Limited</t>
    </r>
  </si>
  <si>
    <r>
      <t xml:space="preserve">  vi.</t>
    </r>
    <r>
      <rPr>
        <b/>
        <sz val="8"/>
        <rFont val="Times New Roman"/>
        <family val="1"/>
      </rPr>
      <t xml:space="preserve">   </t>
    </r>
    <r>
      <rPr>
        <b/>
        <sz val="8"/>
        <rFont val="Verdana"/>
        <family val="2"/>
      </rPr>
      <t>Indian Commodity Exchange Limited</t>
    </r>
  </si>
  <si>
    <r>
      <t xml:space="preserve">  vii.</t>
    </r>
    <r>
      <rPr>
        <b/>
        <sz val="8"/>
        <rFont val="Times New Roman"/>
        <family val="1"/>
      </rPr>
      <t xml:space="preserve">   TM Mining Company </t>
    </r>
    <r>
      <rPr>
        <b/>
        <sz val="8"/>
        <rFont val="Verdana"/>
        <family val="2"/>
      </rPr>
      <t>Limited</t>
    </r>
  </si>
  <si>
    <t>Profit from discontinuing operations (after tax)</t>
  </si>
  <si>
    <t>Profit for the period</t>
  </si>
  <si>
    <t>Earnings per equity share:</t>
  </si>
  <si>
    <t xml:space="preserve">      Basic</t>
  </si>
  <si>
    <t xml:space="preserve">      Diluted</t>
  </si>
  <si>
    <t>Note No.</t>
  </si>
  <si>
    <t>Cash Flow Statement </t>
  </si>
  <si>
    <t xml:space="preserve"> For the year 2011-12 </t>
  </si>
  <si>
    <t xml:space="preserve"> For the year 2010-11 </t>
  </si>
  <si>
    <t>Profit before Tax</t>
  </si>
  <si>
    <t>Adjustment for :</t>
  </si>
  <si>
    <t xml:space="preserve">Depreciation &amp; amortisation expense </t>
  </si>
  <si>
    <t>(Profit) /Loss on sale of Fixed Assets</t>
  </si>
  <si>
    <t>Interest income</t>
  </si>
  <si>
    <t>Dividend income</t>
  </si>
  <si>
    <t>Finance Costs</t>
  </si>
  <si>
    <t>Provision for doubtful Debts /Loans &amp; Advances</t>
  </si>
  <si>
    <t>Provision no longer Required</t>
  </si>
  <si>
    <t>Liabilities no longer Required</t>
  </si>
  <si>
    <t>Provision for DWA risk</t>
  </si>
  <si>
    <t>Current Investments</t>
  </si>
  <si>
    <t>Inventories</t>
  </si>
  <si>
    <t>Trade Receivables</t>
  </si>
  <si>
    <t>Short term loans and advances</t>
  </si>
  <si>
    <t>Other current assets</t>
  </si>
  <si>
    <t>Short Term Borrowings</t>
  </si>
  <si>
    <t>Trade payables</t>
  </si>
  <si>
    <t>Other current liabilities </t>
  </si>
  <si>
    <t>Short term provisions</t>
  </si>
  <si>
    <t xml:space="preserve"> Taxes Paid</t>
  </si>
  <si>
    <t>Purchase of Fixed assets</t>
  </si>
  <si>
    <t>Sale of Fixed Assets</t>
  </si>
  <si>
    <t>Purchase of Non Current Investments</t>
  </si>
  <si>
    <t>Sale of Investments</t>
  </si>
  <si>
    <t>Long term loans and advances</t>
  </si>
  <si>
    <t>Other non-current assets</t>
  </si>
  <si>
    <t xml:space="preserve">Interest received </t>
  </si>
  <si>
    <t xml:space="preserve">Dividend Received </t>
  </si>
  <si>
    <t>Long term borrowings</t>
  </si>
  <si>
    <t>Other Long Term Liabilities</t>
  </si>
  <si>
    <t>Long term provisions</t>
  </si>
  <si>
    <t>Dividend  (inclusive of tax) paid</t>
  </si>
  <si>
    <t>Opening Balance of Cash &amp; Cash Equivalent</t>
  </si>
  <si>
    <t xml:space="preserve">       -   </t>
  </si>
  <si>
    <t>Closing Balance of Cash &amp; Cash Equivalent</t>
  </si>
  <si>
    <t>Operating Profit before Working Capital Changes</t>
  </si>
  <si>
    <t>Cash Generated from operations</t>
  </si>
  <si>
    <t>Value in million</t>
  </si>
  <si>
    <t>IV).Premium on Forward Contract</t>
  </si>
  <si>
    <t>Net cash flow from operating activities</t>
  </si>
  <si>
    <t>B. Cash flow from Investing Activities</t>
  </si>
  <si>
    <t>Net cash flow from investing activities</t>
  </si>
  <si>
    <t>C. Cash flow from financing activities</t>
  </si>
  <si>
    <t>Net cash flow from Financing Activities</t>
  </si>
  <si>
    <t>Net increase/(decrease) in Cash &amp; Cash Equivalent</t>
  </si>
  <si>
    <t>1  Adjustments for certain accruals / deferrals made at Corporate Office on the basis of information received from branch offices</t>
  </si>
  <si>
    <t>2. Figures for the previous year have been regrouped wherever considered necessary.</t>
  </si>
  <si>
    <t>3. Cash and Cash equivalents represent:-</t>
  </si>
  <si>
    <t>(a) Cheques, drafts on hand</t>
  </si>
  <si>
    <t>(b ) Cash on hand</t>
  </si>
  <si>
    <t>(c) Balances with Banks</t>
  </si>
  <si>
    <t>- in current account</t>
  </si>
  <si>
    <t>-in cash credit account</t>
  </si>
  <si>
    <t>-term deposit with original maturity up to 3 months</t>
  </si>
  <si>
    <t>(d) Others</t>
  </si>
  <si>
    <t>Total</t>
  </si>
  <si>
    <t>As at the end of</t>
  </si>
  <si>
    <t>2011-12</t>
  </si>
  <si>
    <t>2010-11</t>
  </si>
  <si>
    <t>3.1 SHARE CAPITAL</t>
  </si>
  <si>
    <t>31-03-2012</t>
  </si>
  <si>
    <t>31-03-2011</t>
  </si>
  <si>
    <t>Number</t>
  </si>
  <si>
    <t>Amount</t>
  </si>
  <si>
    <t>Equity Shares of Par Value Rs.1/- each</t>
  </si>
  <si>
    <t xml:space="preserve">Addition* </t>
  </si>
  <si>
    <t>A. Authorised</t>
  </si>
  <si>
    <t>B. Issued, subscribed and fully paid</t>
  </si>
  <si>
    <t>-</t>
  </si>
  <si>
    <t>3. SHAREHOLDERS’ FUND</t>
  </si>
  <si>
    <t>Deduction</t>
  </si>
  <si>
    <t xml:space="preserve">The Company does not have any holding company. Hence no share is held by its holding company or its subsidiaries or associates. </t>
  </si>
  <si>
    <t xml:space="preserve">A. Cash flow from operating activities </t>
  </si>
  <si>
    <r>
      <t>(</t>
    </r>
    <r>
      <rPr>
        <b/>
        <sz val="8"/>
        <rFont val="Rupee Foradian"/>
        <family val="2"/>
      </rPr>
      <t xml:space="preserve">` </t>
    </r>
    <r>
      <rPr>
        <b/>
        <sz val="8"/>
        <rFont val="Verdana"/>
        <family val="2"/>
      </rPr>
      <t>in Million)</t>
    </r>
  </si>
  <si>
    <r>
      <t>Note</t>
    </r>
    <r>
      <rPr>
        <b/>
        <sz val="8"/>
        <rFont val="Verdana"/>
        <family val="2"/>
      </rPr>
      <t>:</t>
    </r>
  </si>
  <si>
    <r>
      <t>(</t>
    </r>
    <r>
      <rPr>
        <b/>
        <sz val="8"/>
        <rFont val="Rupee Foradian"/>
        <family val="2"/>
      </rPr>
      <t>`</t>
    </r>
    <r>
      <rPr>
        <b/>
        <sz val="8"/>
        <rFont val="Verdana"/>
        <family val="2"/>
      </rPr>
      <t xml:space="preserve"> in million)</t>
    </r>
  </si>
  <si>
    <r>
      <t>* During 2010-11, bonus shares were issued in the ratio of 1:1 by capitalizing a sum of Rs.500 million from general reserve and shares of the company of Rs.10/- each were further divided into 10 shares of Re1/- each.</t>
    </r>
    <r>
      <rPr>
        <sz val="8"/>
        <rFont val="Verdana"/>
        <family val="2"/>
      </rPr>
      <t xml:space="preserve">  </t>
    </r>
  </si>
  <si>
    <r>
      <t>a.</t>
    </r>
    <r>
      <rPr>
        <sz val="8"/>
        <rFont val="Verdana"/>
        <family val="2"/>
      </rPr>
      <t>Interest accrued but not due on borrowings</t>
    </r>
  </si>
  <si>
    <r>
      <t>b.</t>
    </r>
    <r>
      <rPr>
        <sz val="8"/>
        <rFont val="Times New Roman"/>
        <family val="1"/>
      </rPr>
      <t> </t>
    </r>
    <r>
      <rPr>
        <sz val="8"/>
        <rFont val="Verdana"/>
        <family val="2"/>
      </rPr>
      <t>Interest accrued and due on borrowings</t>
    </r>
  </si>
  <si>
    <r>
      <t>c.</t>
    </r>
    <r>
      <rPr>
        <sz val="8"/>
        <rFont val="Times New Roman"/>
        <family val="1"/>
      </rPr>
      <t> </t>
    </r>
    <r>
      <rPr>
        <sz val="8"/>
        <rFont val="Verdana"/>
        <family val="2"/>
      </rPr>
      <t>Income received in advance</t>
    </r>
  </si>
  <si>
    <t>d.Other payables (specify nature)</t>
  </si>
  <si>
    <t>No shareholder other than the promoters is holding more than 5% shares of the company. The shareholding of the promoters i.e. President of India as on 31-03-2012 is 993,312,000 shares (P.Y. 993,312,000 shares)</t>
  </si>
  <si>
    <t>No share of the company is reserved for issue under options and contracts / commitments for the sale of shares / disinvestment.</t>
  </si>
  <si>
    <t xml:space="preserve">During last five years company has not issued any shares pursuant to contracts without payment being received in cash.  </t>
  </si>
  <si>
    <t>During last five years company has not bought back its shares</t>
  </si>
  <si>
    <t xml:space="preserve">During 2010-11, bonus shares were issued in the ratio of 1:1 shares of the company of Rs.10/- each. </t>
  </si>
  <si>
    <t>The Company does not have any security convertible to equity / preference shares.</t>
  </si>
  <si>
    <t>The value of calls unpaid (including calls unpaid by directors and officers) is Rs. NIL million (P.Y. Rs. NIL million).</t>
  </si>
  <si>
    <t>The value of forfeited shares is Rs. NIL million (P.Y. Rs. NIL million).</t>
  </si>
  <si>
    <t>3.2.1 Reserves</t>
  </si>
  <si>
    <t xml:space="preserve">As at </t>
  </si>
  <si>
    <t>Additions</t>
  </si>
  <si>
    <t>Capital Reserve</t>
  </si>
  <si>
    <t>General Reserve</t>
  </si>
  <si>
    <t>Total (a)</t>
  </si>
  <si>
    <r>
      <t>3.1</t>
    </r>
    <r>
      <rPr>
        <b/>
        <sz val="8"/>
        <rFont val="Times New Roman"/>
        <family val="1"/>
      </rPr>
      <t xml:space="preserve">  </t>
    </r>
    <r>
      <rPr>
        <b/>
        <sz val="8"/>
        <rFont val="Verdana"/>
        <family val="2"/>
      </rPr>
      <t>RESERVES &amp; SURPLUS</t>
    </r>
  </si>
  <si>
    <t>01-04-2011</t>
  </si>
  <si>
    <t>3.2.2 Surplus</t>
  </si>
  <si>
    <t xml:space="preserve">Transfer from statement of profit &amp; loss </t>
  </si>
  <si>
    <t xml:space="preserve">Dividend </t>
  </si>
  <si>
    <t>Dividend Tax</t>
  </si>
  <si>
    <t>Transfer to General Reserve</t>
  </si>
  <si>
    <t>Balance in Profit &amp; Loss account</t>
  </si>
  <si>
    <t>Total (b)</t>
  </si>
  <si>
    <t>Total (a+b)</t>
  </si>
  <si>
    <t>          Others</t>
  </si>
  <si>
    <t xml:space="preserve">             Others</t>
  </si>
  <si>
    <t>4. NON CURRENT LIABILITIES</t>
  </si>
  <si>
    <t>Sub-Total</t>
  </si>
  <si>
    <t>TOTAL</t>
  </si>
  <si>
    <r>
      <t>4.1</t>
    </r>
    <r>
      <rPr>
        <b/>
        <sz val="8"/>
        <rFont val="Times New Roman"/>
        <family val="1"/>
      </rPr>
      <t xml:space="preserve">           </t>
    </r>
    <r>
      <rPr>
        <b/>
        <sz val="8"/>
        <rFont val="Verdana"/>
        <family val="2"/>
      </rPr>
      <t>LONG TERM BORROWINGS</t>
    </r>
  </si>
  <si>
    <r>
      <t>A.</t>
    </r>
    <r>
      <rPr>
        <b/>
        <sz val="8"/>
        <rFont val="Times New Roman"/>
        <family val="1"/>
      </rPr>
      <t xml:space="preserve">    </t>
    </r>
    <r>
      <rPr>
        <b/>
        <sz val="8"/>
        <rFont val="Verdana"/>
        <family val="2"/>
      </rPr>
      <t>Term Loan</t>
    </r>
  </si>
  <si>
    <r>
      <t xml:space="preserve">      </t>
    </r>
    <r>
      <rPr>
        <sz val="8"/>
        <rFont val="Verdana"/>
        <family val="2"/>
      </rPr>
      <t>i.</t>
    </r>
    <r>
      <rPr>
        <sz val="8"/>
        <rFont val="Times New Roman"/>
        <family val="1"/>
      </rPr>
      <t xml:space="preserve">   </t>
    </r>
    <r>
      <rPr>
        <sz val="8"/>
        <rFont val="Verdana"/>
        <family val="2"/>
      </rPr>
      <t>From Banks</t>
    </r>
  </si>
  <si>
    <r>
      <t>a.</t>
    </r>
    <r>
      <rPr>
        <sz val="8"/>
        <rFont val="Times New Roman"/>
        <family val="1"/>
      </rPr>
      <t xml:space="preserve">     </t>
    </r>
    <r>
      <rPr>
        <sz val="8"/>
        <rFont val="Verdana"/>
        <family val="2"/>
      </rPr>
      <t xml:space="preserve">Secured  </t>
    </r>
  </si>
  <si>
    <r>
      <t>b.</t>
    </r>
    <r>
      <rPr>
        <sz val="8"/>
        <rFont val="Times New Roman"/>
        <family val="1"/>
      </rPr>
      <t xml:space="preserve">     </t>
    </r>
    <r>
      <rPr>
        <sz val="8"/>
        <rFont val="Verdana"/>
        <family val="2"/>
      </rPr>
      <t xml:space="preserve">Unsecured  </t>
    </r>
  </si>
  <si>
    <r>
      <t xml:space="preserve">    </t>
    </r>
    <r>
      <rPr>
        <sz val="8"/>
        <rFont val="Verdana"/>
        <family val="2"/>
      </rPr>
      <t>ii.</t>
    </r>
    <r>
      <rPr>
        <sz val="8"/>
        <rFont val="Times New Roman"/>
        <family val="1"/>
      </rPr>
      <t xml:space="preserve">   </t>
    </r>
    <r>
      <rPr>
        <sz val="8"/>
        <rFont val="Verdana"/>
        <family val="2"/>
      </rPr>
      <t>From Others</t>
    </r>
  </si>
  <si>
    <r>
      <t>B.</t>
    </r>
    <r>
      <rPr>
        <b/>
        <sz val="8"/>
        <rFont val="Times New Roman"/>
        <family val="1"/>
      </rPr>
      <t xml:space="preserve">    </t>
    </r>
    <r>
      <rPr>
        <b/>
        <sz val="8"/>
        <rFont val="Verdana"/>
        <family val="2"/>
      </rPr>
      <t>Deferred payment liabilities</t>
    </r>
  </si>
  <si>
    <r>
      <t>C.</t>
    </r>
    <r>
      <rPr>
        <b/>
        <sz val="8"/>
        <rFont val="Times New Roman"/>
        <family val="1"/>
      </rPr>
      <t xml:space="preserve">    </t>
    </r>
    <r>
      <rPr>
        <b/>
        <sz val="8"/>
        <rFont val="Verdana"/>
        <family val="2"/>
      </rPr>
      <t>Deposits</t>
    </r>
  </si>
  <si>
    <r>
      <t>D.</t>
    </r>
    <r>
      <rPr>
        <b/>
        <sz val="8"/>
        <rFont val="Times New Roman"/>
        <family val="1"/>
      </rPr>
      <t xml:space="preserve">    </t>
    </r>
    <r>
      <rPr>
        <b/>
        <sz val="8"/>
        <rFont val="Verdana"/>
        <family val="2"/>
      </rPr>
      <t>Loans and advances from related parties</t>
    </r>
  </si>
  <si>
    <r>
      <t>E.</t>
    </r>
    <r>
      <rPr>
        <b/>
        <sz val="8"/>
        <rFont val="Times New Roman"/>
        <family val="1"/>
      </rPr>
      <t xml:space="preserve">     </t>
    </r>
    <r>
      <rPr>
        <b/>
        <sz val="8"/>
        <rFont val="Verdana"/>
        <family val="2"/>
      </rPr>
      <t xml:space="preserve">Others </t>
    </r>
    <r>
      <rPr>
        <sz val="8"/>
        <rFont val="Verdana"/>
        <family val="2"/>
      </rPr>
      <t>(specify nature)</t>
    </r>
  </si>
  <si>
    <t>Term Loan from Banks</t>
  </si>
  <si>
    <t>Secured against hypothecation of stocks, book debts and other assets current and future. This loan is repayable in full on_________________.</t>
  </si>
  <si>
    <t>The loans have not been guaranteed by any of the director or others</t>
  </si>
  <si>
    <t>The company has not defaulted in repayment of any loan and interest thereon.</t>
  </si>
  <si>
    <t>4.2 OTHER LONG TERM LIABILITIES</t>
  </si>
  <si>
    <t>Trade payable</t>
  </si>
  <si>
    <t xml:space="preserve">    -Other than MSMEs</t>
  </si>
  <si>
    <t xml:space="preserve">    -MSMEs</t>
  </si>
  <si>
    <t>Others</t>
  </si>
  <si>
    <t>Prior period items</t>
  </si>
  <si>
    <t xml:space="preserve">There are no micro, small or medium enterprises to whom the Company owes dues which are outstanding for more than 45 days as at 31st March, 2012.  </t>
  </si>
  <si>
    <t>4.3 LONG TERM PROVISIONS</t>
  </si>
  <si>
    <t>Diminution value of investment</t>
  </si>
  <si>
    <t>b) Stock Transfers Inward</t>
  </si>
  <si>
    <r>
      <t xml:space="preserve">                    </t>
    </r>
    <r>
      <rPr>
        <sz val="8"/>
        <rFont val="Verdana"/>
        <family val="2"/>
      </rPr>
      <t>i.</t>
    </r>
    <r>
      <rPr>
        <sz val="8"/>
        <rFont val="Times New Roman"/>
        <family val="1"/>
      </rPr>
      <t xml:space="preserve">    </t>
    </r>
    <r>
      <rPr>
        <sz val="8"/>
        <rFont val="Verdana"/>
        <family val="2"/>
      </rPr>
      <t>Leave encashment</t>
    </r>
  </si>
  <si>
    <r>
      <t xml:space="preserve">                 </t>
    </r>
    <r>
      <rPr>
        <sz val="8"/>
        <rFont val="Verdana"/>
        <family val="2"/>
      </rPr>
      <t>iii.</t>
    </r>
    <r>
      <rPr>
        <sz val="8"/>
        <rFont val="Times New Roman"/>
        <family val="1"/>
      </rPr>
      <t xml:space="preserve">    </t>
    </r>
    <r>
      <rPr>
        <sz val="8"/>
        <rFont val="Verdana"/>
        <family val="2"/>
      </rPr>
      <t>Half pay leave</t>
    </r>
  </si>
  <si>
    <r>
      <t>B.</t>
    </r>
    <r>
      <rPr>
        <b/>
        <sz val="8"/>
        <rFont val="Times New Roman"/>
        <family val="1"/>
      </rPr>
      <t xml:space="preserve">    </t>
    </r>
    <r>
      <rPr>
        <b/>
        <sz val="8"/>
        <rFont val="Verdana"/>
        <family val="2"/>
      </rPr>
      <t>Others</t>
    </r>
  </si>
  <si>
    <r>
      <t>A.</t>
    </r>
    <r>
      <rPr>
        <b/>
        <sz val="8"/>
        <rFont val="Times New Roman"/>
        <family val="1"/>
      </rPr>
      <t> </t>
    </r>
    <r>
      <rPr>
        <b/>
        <sz val="8"/>
        <rFont val="Verdana"/>
        <family val="2"/>
      </rPr>
      <t>Employee Benefits</t>
    </r>
  </si>
  <si>
    <t>5. Current Liabilities</t>
  </si>
  <si>
    <r>
      <t>5.1</t>
    </r>
    <r>
      <rPr>
        <b/>
        <sz val="8"/>
        <rFont val="Times New Roman"/>
        <family val="1"/>
      </rPr>
      <t> </t>
    </r>
    <r>
      <rPr>
        <b/>
        <sz val="8"/>
        <rFont val="Verdana"/>
        <family val="2"/>
      </rPr>
      <t>SHORT TERM BORROWINGS</t>
    </r>
  </si>
  <si>
    <t>From Banks</t>
  </si>
  <si>
    <r>
      <t>5.2</t>
    </r>
    <r>
      <rPr>
        <b/>
        <sz val="8"/>
        <rFont val="Times New Roman"/>
        <family val="1"/>
      </rPr>
      <t xml:space="preserve">  </t>
    </r>
    <r>
      <rPr>
        <b/>
        <sz val="8"/>
        <rFont val="Verdana"/>
        <family val="2"/>
      </rPr>
      <t>TRADE PAYABLE</t>
    </r>
  </si>
  <si>
    <t>A. Sundry Creditors</t>
  </si>
  <si>
    <t>B. Bills payable</t>
  </si>
  <si>
    <t xml:space="preserve">    ii. MSMEs</t>
  </si>
  <si>
    <t xml:space="preserve">    i. Other than MSMEs</t>
  </si>
  <si>
    <t xml:space="preserve">Sundry Creditors include Rs._____ million (P.Y. Rs. _______ million) being notional value of ______Kgs. (P.Y.______Kgs) of gold belonging to foreign suppliers issued on loan basis to the Associates/ Customers of the Company. </t>
  </si>
  <si>
    <t>There are no micro, small or medium enterprises to whom the Company owes dues which are outstanding for more than 45 days as at 31st March, 2012.</t>
  </si>
  <si>
    <r>
      <t>5.3</t>
    </r>
    <r>
      <rPr>
        <b/>
        <sz val="8"/>
        <rFont val="Times New Roman"/>
        <family val="1"/>
      </rPr>
      <t xml:space="preserve">   </t>
    </r>
    <r>
      <rPr>
        <b/>
        <sz val="8"/>
        <rFont val="Verdana"/>
        <family val="2"/>
      </rPr>
      <t>OTHER CURRENT LIABILITIES</t>
    </r>
  </si>
  <si>
    <r>
      <t>5.4</t>
    </r>
    <r>
      <rPr>
        <b/>
        <sz val="8"/>
        <rFont val="Times New Roman"/>
        <family val="1"/>
      </rPr>
      <t xml:space="preserve">  </t>
    </r>
    <r>
      <rPr>
        <b/>
        <sz val="8"/>
        <rFont val="Verdana"/>
        <family val="2"/>
      </rPr>
      <t>SHORT TERM PROVISIONS</t>
    </r>
  </si>
  <si>
    <r>
      <t>A.</t>
    </r>
    <r>
      <rPr>
        <b/>
        <sz val="8"/>
        <rFont val="Times New Roman"/>
        <family val="1"/>
      </rPr>
      <t xml:space="preserve">    </t>
    </r>
    <r>
      <rPr>
        <b/>
        <sz val="8"/>
        <rFont val="Verdana"/>
        <family val="2"/>
      </rPr>
      <t>Employee Benefits</t>
    </r>
  </si>
  <si>
    <t>6. NON CURRENT ASSETS</t>
  </si>
  <si>
    <t xml:space="preserve">6.1 FIXED ASSETS </t>
  </si>
  <si>
    <r>
      <t>6.1.1</t>
    </r>
    <r>
      <rPr>
        <b/>
        <sz val="8"/>
        <rFont val="Times New Roman"/>
        <family val="1"/>
      </rPr>
      <t> </t>
    </r>
    <r>
      <rPr>
        <b/>
        <sz val="8"/>
        <rFont val="Verdana"/>
        <family val="2"/>
      </rPr>
      <t>Tangible Assets</t>
    </r>
  </si>
  <si>
    <t>Gross Blocks</t>
  </si>
  <si>
    <t>Addition</t>
  </si>
  <si>
    <t>Disposals</t>
  </si>
  <si>
    <t>Other Adjustments</t>
  </si>
  <si>
    <t>Last Year</t>
  </si>
  <si>
    <t>Land freehold</t>
  </si>
  <si>
    <t>Land leasehold</t>
  </si>
  <si>
    <t xml:space="preserve">Building </t>
  </si>
  <si>
    <t>Plant &amp; Equipment</t>
  </si>
  <si>
    <t>Furniture &amp; Fixtures</t>
  </si>
  <si>
    <t>Vehicles</t>
  </si>
  <si>
    <t>Office Equipments</t>
  </si>
  <si>
    <t>Others:-</t>
  </si>
  <si>
    <t>Railway Wagon Rakes</t>
  </si>
  <si>
    <t>Warehouse</t>
  </si>
  <si>
    <t>Opening balance as at           01-04-2011</t>
  </si>
  <si>
    <t>Depreciation for the year</t>
  </si>
  <si>
    <t>Impairment/ (reversal of impairment)</t>
  </si>
  <si>
    <t>Deductions</t>
  </si>
  <si>
    <t>Net carrying value</t>
  </si>
  <si>
    <t xml:space="preserve">(a)  Cost of office land/building/flats/culverts, sewerage and drainage in some of the offices have been accounted for provisionally pending receipt of final bills or under construction/execution of lease deed. </t>
  </si>
  <si>
    <t>All Non Current Investments are carried at cost less provision for permanent diminution in value, if any. The company is not having any quoted investments. Aggregate amount of un-quoted investments is Rs.____/- million (P.Y. Rs._____million). Aggregate am</t>
  </si>
  <si>
    <t>Out of the above amount due by directors or other officers of the company or any of them either severally or jointly with any other person or amounts due by firms or private companies respectively in which any director is a partner or a director or a memb</t>
  </si>
  <si>
    <t>All the Current Investments are valued at lower of cost and fair value. The company is not having any quoted investments. Aggregate amount of un-quoted investments is Rs.____/- million (P.Y.Rs._____million). Aggregate amount of provision for diminution in</t>
  </si>
  <si>
    <t>Trade Receivable (current) due by directors or other officers of the company or any of them either severally or jointly with any other person or amounts due by firms or private companies respectively in which any director is a partner or a director or a m</t>
  </si>
  <si>
    <t>Gold/Silver stock towards unbilled purchases</t>
  </si>
  <si>
    <r>
      <t xml:space="preserve">* </t>
    </r>
    <r>
      <rPr>
        <sz val="8"/>
        <rFont val="Verdana"/>
        <family val="2"/>
      </rPr>
      <t>Out of the above amount due by directors or other officers of the company or any of them either severally or jointly with any other person or amounts due by firms or private companies respectively in which any director is a partner or a director or a me</t>
    </r>
  </si>
  <si>
    <t>In respect of coal imported for NTPC supply, sale in some cases have been booked provisionally pending issue of final invoices since final quality analysis at destination is yet to be received. This has no impact on the profitability since the difference,</t>
  </si>
  <si>
    <t xml:space="preserve">The Company being the nominated agency for import of Gold and Silver has imported Gold under usance L/Cs or availed buyer’s credit. Money received towards sale value are put under Fixed Deposits with banks as margin or otherwise.  Interest earned thereon </t>
  </si>
  <si>
    <t>The Company being the nominated agency for import of Gold and Silver has imported Gold under usance L/Cs or availed buyer’s credit. Money received towards sale value is put under Fixed Deposits with banks as margin or otherwise.  Interest earned thereon d</t>
  </si>
  <si>
    <t xml:space="preserve">During the year an amount of Rs ____ million ( L.Y. Rs _____ million )  towards difference in exchange has been shown under operating expenses which has arisen mainly due to adoption of notional exchange rate applicable on the date of bills of lading for </t>
  </si>
  <si>
    <t>The proportionate forward premium of Rs. ____ million  (LY Rs. _____ million) for imports and Rs.____ million (L.Y. Rs. _____ million ) for exports is to be recognized  in the Profit &amp; Loss Account of the subsequent accounting year in terms of the provisi</t>
  </si>
  <si>
    <t>In respect of forward exchange contracts outstanding as on 31.3.12 relating to firm commitments and highly probable forecast transactions, the loss of Rs.      million (P.Y. loss of Rs. Nil  million) has been recognized in the Profit &amp; Loss Account on the</t>
  </si>
  <si>
    <t>Based on interim orders of Hon’ble Court of Small Causes in the matter of mesne profit for the period from _______to ________ relating to office premises at Mumbai, an amount of Rs____ million has been deposited with the Court and a bank guarantee of Rs _</t>
  </si>
  <si>
    <r>
      <t xml:space="preserve">17.  </t>
    </r>
    <r>
      <rPr>
        <sz val="8"/>
        <rFont val="Verdana"/>
        <family val="2"/>
      </rPr>
      <t>In respect of GR-1 forms outstanding beyond due date the Company has filed application with the authorized dealers for extension of time/waiver/ write off.  Pending decision on the application, the liability, if any, that may arise is unascertainable</t>
    </r>
  </si>
  <si>
    <t>iii. Gratuity - Gratuity is paid to all employees on retirement/separation based on the number of years of service.  The scheme is funded by the Company and is managed by a separate Trust through LIC. In case of MICA division employees the scheme is manag</t>
  </si>
  <si>
    <r>
      <t xml:space="preserve">21.  </t>
    </r>
    <r>
      <rPr>
        <sz val="8"/>
        <rFont val="Verdana"/>
        <family val="2"/>
      </rPr>
      <t>In terms of AS-17 the Company has identified its Primary Reportable Business Segments as Minerals, Precious Metals, Metals, Agro Products, Coal &amp; Hydrocarbon, Fertilizer and General Trade/others. The Secondary Segments are identified based on the geo</t>
    </r>
  </si>
  <si>
    <r>
      <rPr>
        <b/>
        <sz val="8"/>
        <rFont val="Times New Roman"/>
        <family val="1"/>
      </rPr>
      <t xml:space="preserve"> </t>
    </r>
    <r>
      <rPr>
        <b/>
        <sz val="8"/>
        <rFont val="Verdana"/>
        <family val="2"/>
      </rPr>
      <t>Long Term Trade Receivables</t>
    </r>
  </si>
  <si>
    <t>* includes ` 1002.05 million (P.Y. ` Nil million) towards recoverable and adhoc provision pending completion of reconciliation/investigations on account of certain acts of commission and omission at Regional Office, Chennai. (Refer Note No. 17)</t>
  </si>
  <si>
    <r>
      <t xml:space="preserve">(includes goods in transit valued at </t>
    </r>
    <r>
      <rPr>
        <sz val="8"/>
        <rFont val="Rupee Foradian"/>
        <family val="2"/>
      </rPr>
      <t>` 1809.95</t>
    </r>
    <r>
      <rPr>
        <sz val="8"/>
        <rFont val="Verdana"/>
        <family val="2"/>
      </rPr>
      <t xml:space="preserve">  million (P.Y. </t>
    </r>
    <r>
      <rPr>
        <sz val="8"/>
        <rFont val="Rupee Foradian"/>
        <family val="2"/>
      </rPr>
      <t xml:space="preserve">` 1564.95 </t>
    </r>
    <r>
      <rPr>
        <sz val="8"/>
        <rFont val="Verdana"/>
        <family val="2"/>
      </rPr>
      <t>million))</t>
    </r>
  </si>
  <si>
    <t>31-03-2013</t>
  </si>
  <si>
    <t>3.1 SHARE CAPITAL &amp; RECONCILIATION OF THE NUMBER OF SHARES OUTSTANDING AT THE END OF THE REPORTING PERIOD</t>
  </si>
  <si>
    <t>Capital reserve- Opening Balance</t>
  </si>
  <si>
    <t>Add : Transferred from Surplus</t>
  </si>
  <si>
    <t>General reserve- Opening Balance</t>
  </si>
  <si>
    <t>Add : Tranferred from Surplus</t>
  </si>
  <si>
    <t>Less : Duduction</t>
  </si>
  <si>
    <t>Surplus- Opening Balance</t>
  </si>
  <si>
    <t>Add : Net profit after tax transferred from Statement of Profit &amp; Loss</t>
  </si>
  <si>
    <t>Final Dividend</t>
  </si>
  <si>
    <t>Dividend tax</t>
  </si>
  <si>
    <r>
      <t xml:space="preserve">                 </t>
    </r>
    <r>
      <rPr>
        <sz val="8"/>
        <rFont val="Verdana"/>
        <family val="2"/>
      </rPr>
      <t>ii.</t>
    </r>
    <r>
      <rPr>
        <sz val="8"/>
        <rFont val="Times New Roman"/>
        <family val="1"/>
      </rPr>
      <t xml:space="preserve">     </t>
    </r>
    <r>
      <rPr>
        <sz val="8"/>
        <rFont val="Verdana"/>
        <family val="2"/>
      </rPr>
      <t>Post Ret. Medical Benefits</t>
    </r>
  </si>
  <si>
    <r>
      <t>                 v</t>
    </r>
    <r>
      <rPr>
        <sz val="8"/>
        <rFont val="Verdana"/>
        <family val="2"/>
      </rPr>
      <t>.</t>
    </r>
    <r>
      <rPr>
        <sz val="8"/>
        <rFont val="Times New Roman"/>
        <family val="1"/>
      </rPr>
      <t xml:space="preserve">     </t>
    </r>
    <r>
      <rPr>
        <sz val="8"/>
        <rFont val="Verdana"/>
        <family val="2"/>
      </rPr>
      <t>Compassionate Gratuity</t>
    </r>
  </si>
  <si>
    <r>
      <t xml:space="preserve">                 </t>
    </r>
    <r>
      <rPr>
        <sz val="8"/>
        <rFont val="Verdana"/>
        <family val="2"/>
      </rPr>
      <t>vi.</t>
    </r>
    <r>
      <rPr>
        <sz val="8"/>
        <rFont val="Times New Roman"/>
        <family val="1"/>
      </rPr>
      <t>    </t>
    </r>
    <r>
      <rPr>
        <sz val="8"/>
        <rFont val="Verdana"/>
        <family val="2"/>
      </rPr>
      <t>Emp. Family Benefit Scheme</t>
    </r>
  </si>
  <si>
    <t xml:space="preserve">          -Taxes &amp; Employees dues remittance pending</t>
  </si>
  <si>
    <t xml:space="preserve">          -Security deposit &amp; EMD</t>
  </si>
  <si>
    <t xml:space="preserve">          -Credit balance in sundry debtors</t>
  </si>
  <si>
    <t xml:space="preserve">          -Demurrage payable</t>
  </si>
  <si>
    <t xml:space="preserve">          -Despatch payable</t>
  </si>
  <si>
    <t xml:space="preserve">          -Unpaid Dividend</t>
  </si>
  <si>
    <t xml:space="preserve">          -Advance recd.from customers</t>
  </si>
  <si>
    <t xml:space="preserve">          -Sundry Creditors-Others</t>
  </si>
  <si>
    <t xml:space="preserve">          -Salaries &amp; Allowances</t>
  </si>
  <si>
    <t xml:space="preserve">          -Administrative Expenses</t>
  </si>
  <si>
    <t xml:space="preserve">          -IOGL Balances</t>
  </si>
  <si>
    <t xml:space="preserve">         - Amount payable towards unbilled purchases</t>
  </si>
  <si>
    <t xml:space="preserve">          -Forward cover etc.(Amount Payable to Bank)</t>
  </si>
  <si>
    <t>Deferred Tax Asset/ (Liability) as at 1.4.2012</t>
  </si>
  <si>
    <t>Deferred Tax asset / (Liability) as at 31.3.2013</t>
  </si>
  <si>
    <t>B.   LOAN AND ADVANCES TO RELATED PARTIES</t>
  </si>
  <si>
    <r>
      <t xml:space="preserve">   </t>
    </r>
    <r>
      <rPr>
        <sz val="8"/>
        <rFont val="Verdana"/>
        <family val="2"/>
      </rPr>
      <t>II.</t>
    </r>
    <r>
      <rPr>
        <sz val="8"/>
        <rFont val="Times New Roman"/>
        <family val="1"/>
      </rPr>
      <t xml:space="preserve">   </t>
    </r>
    <r>
      <rPr>
        <sz val="8"/>
        <rFont val="Verdana"/>
        <family val="2"/>
      </rPr>
      <t>Unsecured, considered good</t>
    </r>
  </si>
  <si>
    <r>
      <t xml:space="preserve"> III.</t>
    </r>
    <r>
      <rPr>
        <sz val="8"/>
        <rFont val="Times New Roman"/>
        <family val="1"/>
      </rPr>
      <t xml:space="preserve">   </t>
    </r>
    <r>
      <rPr>
        <sz val="8"/>
        <rFont val="Verdana"/>
        <family val="2"/>
      </rPr>
      <t>Doubtful</t>
    </r>
  </si>
  <si>
    <r>
      <rPr>
        <sz val="8"/>
        <rFont val="Verdana"/>
        <family val="2"/>
      </rPr>
      <t>iii.</t>
    </r>
    <r>
      <rPr>
        <sz val="8"/>
        <rFont val="Times New Roman"/>
        <family val="1"/>
      </rPr>
      <t>  </t>
    </r>
    <r>
      <rPr>
        <sz val="8"/>
        <rFont val="Verdana"/>
        <family val="2"/>
      </rPr>
      <t>Doubtful</t>
    </r>
  </si>
  <si>
    <r>
      <rPr>
        <sz val="8"/>
        <rFont val="Verdana"/>
        <family val="2"/>
      </rPr>
      <t>ii.</t>
    </r>
    <r>
      <rPr>
        <sz val="8"/>
        <rFont val="Times New Roman"/>
        <family val="1"/>
      </rPr>
      <t>   </t>
    </r>
    <r>
      <rPr>
        <sz val="8"/>
        <rFont val="Verdana"/>
        <family val="2"/>
      </rPr>
      <t>Unsecured Considered good</t>
    </r>
  </si>
  <si>
    <r>
      <rPr>
        <b/>
        <sz val="8"/>
        <rFont val="Verdana"/>
        <family val="2"/>
      </rPr>
      <t>ii.</t>
    </r>
    <r>
      <rPr>
        <b/>
        <sz val="8"/>
        <rFont val="Times New Roman"/>
        <family val="1"/>
      </rPr>
      <t xml:space="preserve">    </t>
    </r>
    <r>
      <rPr>
        <sz val="8"/>
        <rFont val="Verdana"/>
        <family val="2"/>
      </rPr>
      <t xml:space="preserve">Unsecured -Considered good </t>
    </r>
  </si>
  <si>
    <r>
      <rPr>
        <b/>
        <sz val="8"/>
        <rFont val="Verdana"/>
        <family val="2"/>
      </rPr>
      <t>iii.</t>
    </r>
    <r>
      <rPr>
        <b/>
        <sz val="8"/>
        <rFont val="Times New Roman"/>
        <family val="1"/>
      </rPr>
      <t xml:space="preserve">   </t>
    </r>
    <r>
      <rPr>
        <sz val="8"/>
        <rFont val="Verdana"/>
        <family val="2"/>
      </rPr>
      <t>Doubtful</t>
    </r>
  </si>
  <si>
    <t>Less :</t>
  </si>
  <si>
    <t>d.     Excise Duty</t>
  </si>
  <si>
    <t xml:space="preserve">        -foreign exchange gain/loss</t>
  </si>
  <si>
    <t xml:space="preserve">         Less: foreign exchange loss </t>
  </si>
  <si>
    <r>
      <t xml:space="preserve">19   </t>
    </r>
    <r>
      <rPr>
        <b/>
        <sz val="8"/>
        <rFont val="Verdana"/>
        <family val="2"/>
      </rPr>
      <t>CONTINGENT LIABILITIES AND COMMITMENTS (TO THE EXTENT NOT PROVIDED FOR):</t>
    </r>
  </si>
  <si>
    <t>b) Stock received from Ros/on loan/ in kind</t>
  </si>
  <si>
    <t>c) Stock transfer to Ros/ given on loan/ in kind</t>
  </si>
  <si>
    <t>Salaries and wages</t>
  </si>
  <si>
    <t>Contribution to provident fund and other funds</t>
  </si>
  <si>
    <t>ESOP/ESPP</t>
  </si>
  <si>
    <t>Staff Welfare Expenses</t>
  </si>
  <si>
    <t>IV.Premium on Forward Contract</t>
  </si>
  <si>
    <t>Rates &amp; Taxes</t>
  </si>
  <si>
    <t>Electricity &amp; water Charges</t>
  </si>
  <si>
    <t>Advertisement &amp; Publicity</t>
  </si>
  <si>
    <t>Printing &amp; Stationery</t>
  </si>
  <si>
    <t>Postage &amp; telegram</t>
  </si>
  <si>
    <t>Telephone</t>
  </si>
  <si>
    <t>Telecommunication</t>
  </si>
  <si>
    <t>Travelling</t>
  </si>
  <si>
    <t>Vehicle</t>
  </si>
  <si>
    <t>Entertainment</t>
  </si>
  <si>
    <t>Legal</t>
  </si>
  <si>
    <t>Auditor's Remuneration</t>
  </si>
  <si>
    <t>Bank Charges</t>
  </si>
  <si>
    <t>Books &amp; Periodicals</t>
  </si>
  <si>
    <t>Trade</t>
  </si>
  <si>
    <t>Repair &amp; Renewals</t>
  </si>
  <si>
    <t>Computer</t>
  </si>
  <si>
    <t>Subscription</t>
  </si>
  <si>
    <t>Training, Seminar &amp; Conference</t>
  </si>
  <si>
    <t>Professional/Consultancy</t>
  </si>
  <si>
    <t>CSR &amp; Sustainable Deveployment</t>
  </si>
  <si>
    <t>Difference in Exchange</t>
  </si>
  <si>
    <t>Donations</t>
  </si>
  <si>
    <t>Service Tax</t>
  </si>
  <si>
    <t>Exhibition, Fair and Sales Promotion</t>
  </si>
  <si>
    <t>Bad Debts/Claims/Assets written off/withdrawan</t>
  </si>
  <si>
    <t>Provision for Bad &amp; Doubtful Debts/Claims/Advances</t>
  </si>
  <si>
    <t>Miscellaneous expenses</t>
  </si>
  <si>
    <t>Auditor's Remuneration (ii)</t>
  </si>
  <si>
    <t xml:space="preserve">(ii) Amount paid to auditors </t>
  </si>
  <si>
    <t xml:space="preserve">(ii) Amount paid to auditors’ </t>
  </si>
  <si>
    <t>(iii) Prior Period Items</t>
  </si>
  <si>
    <t>Provsions no longer required</t>
  </si>
  <si>
    <t>ADDITIONAL INFORMATION TO STATEMENT OF PROFIT AND LOSS</t>
  </si>
  <si>
    <t xml:space="preserve">i. VALUE OF IMPORTS </t>
  </si>
  <si>
    <r>
      <t>ii.</t>
    </r>
    <r>
      <rPr>
        <b/>
        <sz val="8"/>
        <rFont val="Times New Roman"/>
        <family val="1"/>
      </rPr>
      <t xml:space="preserve">  </t>
    </r>
    <r>
      <rPr>
        <b/>
        <sz val="8"/>
        <rFont val="Verdana"/>
        <family val="2"/>
      </rPr>
      <t xml:space="preserve">EXPENDITURE IN FOREIGN CURRENCY </t>
    </r>
  </si>
  <si>
    <r>
      <rPr>
        <b/>
        <sz val="8"/>
        <rFont val="Verdana"/>
        <family val="2"/>
      </rPr>
      <t>iii.</t>
    </r>
    <r>
      <rPr>
        <b/>
        <sz val="8"/>
        <rFont val="Times New Roman"/>
        <family val="1"/>
      </rPr>
      <t> </t>
    </r>
    <r>
      <rPr>
        <b/>
        <sz val="8"/>
        <rFont val="Verdana"/>
        <family val="2"/>
      </rPr>
      <t xml:space="preserve">EARNINGS IN FOREIGN CURRENCY  </t>
    </r>
  </si>
  <si>
    <r>
      <t>iv</t>
    </r>
    <r>
      <rPr>
        <b/>
        <sz val="8"/>
        <rFont val="Verdana"/>
        <family val="2"/>
      </rPr>
      <t>.</t>
    </r>
    <r>
      <rPr>
        <b/>
        <sz val="8"/>
        <rFont val="Times New Roman"/>
        <family val="1"/>
      </rPr>
      <t> </t>
    </r>
    <r>
      <rPr>
        <b/>
        <sz val="8"/>
        <rFont val="Verdana"/>
        <family val="2"/>
      </rPr>
      <t xml:space="preserve">CONSUMPTION OF RAW MATERIALS, SPARE PARTS AND COMPONENTS </t>
    </r>
  </si>
  <si>
    <r>
      <t>v</t>
    </r>
    <r>
      <rPr>
        <b/>
        <sz val="8"/>
        <rFont val="Times New Roman"/>
        <family val="1"/>
      </rPr>
      <t xml:space="preserve">  </t>
    </r>
    <r>
      <rPr>
        <b/>
        <sz val="8"/>
        <rFont val="Verdana"/>
        <family val="2"/>
      </rPr>
      <t xml:space="preserve">DIVIDENDS REMITTED IN FOREIGN CURRENCY </t>
    </r>
  </si>
  <si>
    <r>
      <t>The deferred tax liability as at 31</t>
    </r>
    <r>
      <rPr>
        <vertAlign val="superscript"/>
        <sz val="8"/>
        <rFont val="Verdana"/>
        <family val="2"/>
      </rPr>
      <t>st</t>
    </r>
    <r>
      <rPr>
        <sz val="8"/>
        <rFont val="Verdana"/>
        <family val="2"/>
      </rPr>
      <t xml:space="preserve"> March 2013 comprises of the following:</t>
    </r>
  </si>
  <si>
    <t xml:space="preserve">b) Amount paid to auditors </t>
  </si>
  <si>
    <t xml:space="preserve">          Loans &amp; Advances to PSUs/Other Companies</t>
  </si>
  <si>
    <t xml:space="preserve">          Interest Accrued &amp; Due/ Not Due</t>
  </si>
  <si>
    <t xml:space="preserve">          Loans to Employees</t>
  </si>
  <si>
    <r>
      <t>A.</t>
    </r>
    <r>
      <rPr>
        <b/>
        <sz val="8"/>
        <rFont val="Times New Roman"/>
        <family val="1"/>
      </rPr>
      <t xml:space="preserve"> </t>
    </r>
    <r>
      <rPr>
        <b/>
        <sz val="8"/>
        <rFont val="Verdana"/>
        <family val="2"/>
      </rPr>
      <t>Loans and advances to  related parties</t>
    </r>
  </si>
  <si>
    <t>Stock T/f &amp; IOGL Balance Should be NIL Some Rows Hide</t>
  </si>
  <si>
    <t xml:space="preserve">    Contribution to provident fund and other funds</t>
  </si>
  <si>
    <t xml:space="preserve">    Provident Fund </t>
  </si>
  <si>
    <t xml:space="preserve">    Superannuation Benefit</t>
  </si>
  <si>
    <t>13   EMPLOYEE BENEFITS EXPENSE</t>
  </si>
  <si>
    <t>(Amount in `)</t>
  </si>
  <si>
    <t>   Salaries and Allowances</t>
  </si>
  <si>
    <t>   Leave encashment</t>
  </si>
  <si>
    <t>   VR expenses</t>
  </si>
  <si>
    <t>   Bonus</t>
  </si>
  <si>
    <t>   Performance Related pay</t>
  </si>
  <si>
    <t>   Medical Expenses</t>
  </si>
  <si>
    <t>   Group Insurance</t>
  </si>
  <si>
    <t>   Contribution to DLIS</t>
  </si>
  <si>
    <t>    Gratuity Fund</t>
  </si>
  <si>
    <t>   Family Pension Scheme</t>
  </si>
  <si>
    <t xml:space="preserve">   Superannuation Benefit</t>
  </si>
  <si>
    <t>3.2  RESERVES &amp; SURPLUS</t>
  </si>
  <si>
    <t>4.1           LONG TERM BORROWINGS</t>
  </si>
  <si>
    <t>A.    Term Loan</t>
  </si>
  <si>
    <t>      i.   From Banks</t>
  </si>
  <si>
    <t xml:space="preserve">a.     Secured  </t>
  </si>
  <si>
    <t xml:space="preserve">b.     Unsecured  </t>
  </si>
  <si>
    <t>    ii.   From Others</t>
  </si>
  <si>
    <t>B.    Deferred payment liabilities</t>
  </si>
  <si>
    <t>C.    Deposits</t>
  </si>
  <si>
    <t>D.    Loans and advances from related parties</t>
  </si>
  <si>
    <r>
      <t xml:space="preserve">E.     Others </t>
    </r>
    <r>
      <rPr>
        <sz val="8"/>
        <rFont val="Verdana"/>
        <family val="2"/>
      </rPr>
      <t>(specify nature)</t>
    </r>
  </si>
  <si>
    <t>A. Employee Benefits</t>
  </si>
  <si>
    <t>B.    Others</t>
  </si>
  <si>
    <t>5.1 SHORT TERM BORROWINGS</t>
  </si>
  <si>
    <t>A.     Loans repayable on demand</t>
  </si>
  <si>
    <t>5.2  TRADE PAYABLE</t>
  </si>
  <si>
    <t>5.3   OTHER CURRENT LIABILITIES</t>
  </si>
  <si>
    <t>a.Interest accrued but not due on borrowings</t>
  </si>
  <si>
    <t>b. Interest accrued and due on borrowings</t>
  </si>
  <si>
    <t>c. Income received in advance</t>
  </si>
  <si>
    <t>5.4  SHORT TERM PROVISIONS</t>
  </si>
  <si>
    <t>A.    Employee Benefits</t>
  </si>
  <si>
    <t>i.   Taxation</t>
  </si>
  <si>
    <t>ii.   Proposed dividend</t>
  </si>
  <si>
    <t>iii.   Dividend Distribution Tax</t>
  </si>
  <si>
    <t>iv.   Destinational Weight and Analysis Risk</t>
  </si>
  <si>
    <t>I. TRADE INVESTMENTS</t>
  </si>
  <si>
    <t>A.   Investment Property</t>
  </si>
  <si>
    <t>B.   Investment in Equity instrument</t>
  </si>
  <si>
    <t>a)   Subsidiaries</t>
  </si>
  <si>
    <t>b)   Associates</t>
  </si>
  <si>
    <t xml:space="preserve">i.   Neelachal Ispat Nigam Limited </t>
  </si>
  <si>
    <t xml:space="preserve">ii.   Devona Thermal Power &amp; Infrastructure Ltd. </t>
  </si>
  <si>
    <t>c)    Joint Ventures</t>
  </si>
  <si>
    <t>i.   Greater Noida Integrated Ware- housing Pvt. Ltd.</t>
  </si>
  <si>
    <t xml:space="preserve">    ii.   Free Trade Ware- housing Pvt. Ltd. </t>
  </si>
  <si>
    <t xml:space="preserve">  iii.   MMTC Pamp India Pvt. Ltd.</t>
  </si>
  <si>
    <t>   iv.   SICAL Iron Ore Terminal Limited</t>
  </si>
  <si>
    <t xml:space="preserve">  v.   MMTC Gitanjali Pvt Limited</t>
  </si>
  <si>
    <t xml:space="preserve">  vi.   Indian Commodity Exchange Limited</t>
  </si>
  <si>
    <t xml:space="preserve">  vii.   TM Mining Company Limited</t>
  </si>
  <si>
    <t>d)    Others</t>
  </si>
  <si>
    <t xml:space="preserve">      i.   Indo French Biotech Limited </t>
  </si>
  <si>
    <t xml:space="preserve">    ii.   United Stock Exchange Limited</t>
  </si>
  <si>
    <r>
      <t>6.3 DEFERRED TAX ASSETS (NET)</t>
    </r>
    <r>
      <rPr>
        <sz val="8"/>
        <rFont val="Verdana"/>
        <family val="2"/>
      </rPr>
      <t xml:space="preserve">                                                                                             </t>
    </r>
  </si>
  <si>
    <t xml:space="preserve">        (` in million)</t>
  </si>
  <si>
    <t>A.    CAPITAL ADVANCES</t>
  </si>
  <si>
    <t>     I.   Secured, considered good</t>
  </si>
  <si>
    <t>  II.   Unsecured, considered good</t>
  </si>
  <si>
    <t>III.   Doubtful</t>
  </si>
  <si>
    <t>6.5    OTHER NON-CURRENT ASSETS</t>
  </si>
  <si>
    <t xml:space="preserve"> Long Term Trade Receivables</t>
  </si>
  <si>
    <t>i.     Considered good (Secured  against hypothecation of assets/ mortgage of title deeds and Bank Guarantees)</t>
  </si>
  <si>
    <t xml:space="preserve">ii.     Unsecured Considered good </t>
  </si>
  <si>
    <t>iii.     Considered doubtful</t>
  </si>
  <si>
    <t>i.   Secured, considered good</t>
  </si>
  <si>
    <t>ii.   Unsecured, considered good</t>
  </si>
  <si>
    <r>
      <t xml:space="preserve">iii.   Doubtful (Bullion Receivable) </t>
    </r>
    <r>
      <rPr>
        <b/>
        <sz val="8"/>
        <rFont val="Verdana"/>
        <family val="2"/>
      </rPr>
      <t>*</t>
    </r>
  </si>
  <si>
    <t xml:space="preserve">7  CURRENT ASSETS </t>
  </si>
  <si>
    <t>7.1  CURRENT INVESTMENTS</t>
  </si>
  <si>
    <t>A.   Investment in Equity instrument</t>
  </si>
  <si>
    <t>    i.    Subsidiaries</t>
  </si>
  <si>
    <t>  ii.    Associates</t>
  </si>
  <si>
    <t xml:space="preserve"> iii.    Joint Ventures</t>
  </si>
  <si>
    <t>iv.    Controlled special purpose entities</t>
  </si>
  <si>
    <t>B.    Investment in Government or trust securities</t>
  </si>
  <si>
    <t>C.    Others</t>
  </si>
  <si>
    <t>A.    Raw materials</t>
  </si>
  <si>
    <t>B.    Work-in-progress</t>
  </si>
  <si>
    <t>C.    Finished goods</t>
  </si>
  <si>
    <t xml:space="preserve">D.    Stock-in-trade </t>
  </si>
  <si>
    <t>(includes goods in transit valued at `               million (P.Y. `             million))</t>
  </si>
  <si>
    <t>E.     Stores and spares</t>
  </si>
  <si>
    <t>F.     Loose tools</t>
  </si>
  <si>
    <t>G.   Packing Materials</t>
  </si>
  <si>
    <t>H.    Others (specify nature).</t>
  </si>
  <si>
    <t xml:space="preserve">7.3    TRADE RECEIVABLES </t>
  </si>
  <si>
    <t xml:space="preserve">A.   Trade Receivables Outstanding for a period exceeding six months from the date they are due for payment </t>
  </si>
  <si>
    <t>i.    Secured, Considered good</t>
  </si>
  <si>
    <t>ii.   Unsecured Considered good</t>
  </si>
  <si>
    <t>iii.  Doubtful</t>
  </si>
  <si>
    <t>B.   Other Trade Receivables</t>
  </si>
  <si>
    <t>7.4  CASH AND OTHER BANK BALANCES</t>
  </si>
  <si>
    <t>a.     Cash and cash equivalents</t>
  </si>
  <si>
    <t>(a) in Current Account</t>
  </si>
  <si>
    <t>(b) in Cash Credit Account</t>
  </si>
  <si>
    <t>(c)  in Term Deposits with original maturity upto 3 months</t>
  </si>
  <si>
    <t>b.     Other Balances with Banks</t>
  </si>
  <si>
    <t>Balances with banks to the extent held as margin money or security against the borrowings, guarantees, other commitments `     millions (PY `     millions).</t>
  </si>
  <si>
    <t>7.5  SHORT TERM LOANS AND ADVANCES</t>
  </si>
  <si>
    <t>A. Loans and advances to  related parties</t>
  </si>
  <si>
    <r>
      <t xml:space="preserve">i.     </t>
    </r>
    <r>
      <rPr>
        <sz val="8"/>
        <rFont val="Verdana"/>
        <family val="2"/>
      </rPr>
      <t xml:space="preserve">Secured -Considered good </t>
    </r>
  </si>
  <si>
    <r>
      <t xml:space="preserve">ii.     </t>
    </r>
    <r>
      <rPr>
        <sz val="8"/>
        <rFont val="Verdana"/>
        <family val="2"/>
      </rPr>
      <t xml:space="preserve">Unsecured -Considered good </t>
    </r>
  </si>
  <si>
    <r>
      <t xml:space="preserve">iii.     </t>
    </r>
    <r>
      <rPr>
        <sz val="8"/>
        <rFont val="Verdana"/>
        <family val="2"/>
      </rPr>
      <t>Doubtful</t>
    </r>
  </si>
  <si>
    <t>B.  Others</t>
  </si>
  <si>
    <t>i.    Bills Receivable</t>
  </si>
  <si>
    <t>ii.   Advance recoverable in cash or kind</t>
  </si>
  <si>
    <t>iii.    Advance to Suppliers</t>
  </si>
  <si>
    <r>
      <t>7.6    OTHER CURRENT ASSETS (</t>
    </r>
    <r>
      <rPr>
        <sz val="8"/>
        <rFont val="Verdana"/>
        <family val="2"/>
      </rPr>
      <t>assets that do not fit into any other asset categories)</t>
    </r>
  </si>
  <si>
    <t>8    REVENUE FROM OPERATIONS</t>
  </si>
  <si>
    <t>a.     Sale of products</t>
  </si>
  <si>
    <t>b.     Sale of services</t>
  </si>
  <si>
    <t>c.      Other operating revenue</t>
  </si>
  <si>
    <t>d.     Excise Duty</t>
  </si>
  <si>
    <t>9     OTHER INCOME</t>
  </si>
  <si>
    <t xml:space="preserve">a.     Interest </t>
  </si>
  <si>
    <t>c.     Net gain/ loss on sale of investments</t>
  </si>
  <si>
    <t>d.    other non operating income (net of expenses directly attributable to such income)</t>
  </si>
  <si>
    <t>10  COST OF MATERIAL CONSUMED</t>
  </si>
  <si>
    <t>11    PURCHASES OF STOCK-IN-TRADE</t>
  </si>
  <si>
    <t xml:space="preserve">12   CHANGES IN INVENTORIES </t>
  </si>
  <si>
    <t>A.    FINISHED GOODS</t>
  </si>
  <si>
    <t>B.    WORK-IN-PROGRESS</t>
  </si>
  <si>
    <t>C.   STOCK-IN-TRADE</t>
  </si>
  <si>
    <r>
      <t xml:space="preserve"> i.  </t>
    </r>
    <r>
      <rPr>
        <sz val="8"/>
        <rFont val="Verdana"/>
        <family val="2"/>
      </rPr>
      <t>An amount of Rs.________ million (P.Y. Rs._______ million) transferred to General Reserves from the profit made during the year.</t>
    </r>
  </si>
  <si>
    <r>
      <t xml:space="preserve">ii  </t>
    </r>
    <r>
      <rPr>
        <sz val="8"/>
        <rFont val="Verdana"/>
        <family val="2"/>
      </rPr>
      <t>An amount of Rs._________ million (P.Y. Rs.________ million) transferred from General Reserves for issuing bonus shares.</t>
    </r>
  </si>
  <si>
    <t xml:space="preserve">iv.  EXPENDITURE IN FOREIGN CURRENCY </t>
  </si>
  <si>
    <t xml:space="preserve">v. EARNINGS IN FOREIGN CURRENCY  </t>
  </si>
  <si>
    <t xml:space="preserve">vi. CONSUMPTION OF RAW MATERIALS, SPARE PARTS AND COMPONENTS </t>
  </si>
  <si>
    <t xml:space="preserve">        i.            Value </t>
  </si>
  <si>
    <t xml:space="preserve">       ii.            As % of total </t>
  </si>
  <si>
    <t xml:space="preserve">vii  DIVIDENDS REMITTED IN FOREIGN CURRENCY </t>
  </si>
  <si>
    <t>    Family Pension Scheme</t>
  </si>
  <si>
    <t>15   OTHER EXPENSES</t>
  </si>
  <si>
    <r>
      <t>(Amount in</t>
    </r>
    <r>
      <rPr>
        <b/>
        <sz val="8"/>
        <rFont val="Rupee Foradian"/>
        <family val="2"/>
      </rPr>
      <t xml:space="preserve"> `</t>
    </r>
    <r>
      <rPr>
        <b/>
        <sz val="8"/>
        <rFont val="Verdana"/>
        <family val="2"/>
      </rPr>
      <t>)</t>
    </r>
  </si>
  <si>
    <r>
      <t xml:space="preserve">(Amount in </t>
    </r>
    <r>
      <rPr>
        <b/>
        <sz val="8"/>
        <rFont val="Rupee Foradian"/>
        <family val="2"/>
      </rPr>
      <t>`)</t>
    </r>
  </si>
  <si>
    <t>16   EXCEPTIONAL ITEMS</t>
  </si>
  <si>
    <t>9% Govt. Stock 2013</t>
  </si>
  <si>
    <r>
      <t>A.</t>
    </r>
    <r>
      <rPr>
        <b/>
        <sz val="8"/>
        <rFont val="Times New Roman"/>
        <family val="1"/>
      </rPr>
      <t xml:space="preserve">   </t>
    </r>
    <r>
      <rPr>
        <b/>
        <sz val="8"/>
        <rFont val="Verdana"/>
        <family val="2"/>
      </rPr>
      <t>Investment in Mutual Funds</t>
    </r>
  </si>
  <si>
    <r>
      <t xml:space="preserve">    </t>
    </r>
    <r>
      <rPr>
        <sz val="8"/>
        <rFont val="Verdana"/>
        <family val="2"/>
      </rPr>
      <t>i.</t>
    </r>
    <r>
      <rPr>
        <sz val="8"/>
        <rFont val="Times New Roman"/>
        <family val="1"/>
      </rPr>
      <t>   </t>
    </r>
    <r>
      <rPr>
        <sz val="8"/>
        <rFont val="Verdana"/>
        <family val="2"/>
      </rPr>
      <t xml:space="preserve"> IDBI Mutual Fund</t>
    </r>
  </si>
  <si>
    <r>
      <t>b.</t>
    </r>
    <r>
      <rPr>
        <sz val="8"/>
        <rFont val="Times New Roman"/>
        <family val="1"/>
      </rPr>
      <t xml:space="preserve">     </t>
    </r>
    <r>
      <rPr>
        <sz val="8"/>
        <rFont val="Verdana"/>
        <family val="2"/>
      </rPr>
      <t xml:space="preserve">Dividend </t>
    </r>
  </si>
  <si>
    <t xml:space="preserve">           -from subsidiary company</t>
  </si>
  <si>
    <t xml:space="preserve">           -others</t>
  </si>
  <si>
    <t xml:space="preserve">b.     Dividend </t>
  </si>
  <si>
    <t xml:space="preserve">   Post Retirement Medical Expenses</t>
  </si>
  <si>
    <t xml:space="preserve">             i.    Leave encashment</t>
  </si>
  <si>
    <t>Fully paid up 289,342,744 Equity shares of Rs.10/- each ( P.Y. Fully paid up 289,342,744 Equity shares of Rs. 10/-  each)</t>
  </si>
  <si>
    <t>Sustainable Development Reserve</t>
  </si>
  <si>
    <t>Corporate Social Responsibility Reserve</t>
  </si>
  <si>
    <t>Corporate Social Responsibility Reserve-Opening Balance</t>
  </si>
  <si>
    <t>Total (A)</t>
  </si>
  <si>
    <t>Appropriations :</t>
  </si>
  <si>
    <t>Total (B)</t>
  </si>
  <si>
    <t>TOTAL (A)+(B)</t>
  </si>
  <si>
    <t>Sustainable Development Reserve - Opening Balance</t>
  </si>
  <si>
    <t>Intangible Assets</t>
  </si>
  <si>
    <t>Credit / (Charge) during 2012-13</t>
  </si>
  <si>
    <t>Provision for Sperannuation Benefits</t>
  </si>
  <si>
    <t xml:space="preserve">          Less:    Foreign Currency Receivable</t>
  </si>
  <si>
    <t>31-03-2014</t>
  </si>
  <si>
    <r>
      <t>The deferred tax liability as at 31</t>
    </r>
    <r>
      <rPr>
        <vertAlign val="superscript"/>
        <sz val="8"/>
        <rFont val="Verdana"/>
        <family val="2"/>
      </rPr>
      <t>st</t>
    </r>
    <r>
      <rPr>
        <sz val="8"/>
        <rFont val="Verdana"/>
        <family val="2"/>
      </rPr>
      <t xml:space="preserve"> March 2014 comprises of the following:</t>
    </r>
  </si>
  <si>
    <t>2013-14</t>
  </si>
  <si>
    <t>-Forward Cover -   Amount Payable to Bank</t>
  </si>
  <si>
    <t xml:space="preserve">           Less:    Foreign Currency Receivable</t>
  </si>
  <si>
    <t>TM Mining Company Limited</t>
  </si>
  <si>
    <t xml:space="preserve">   -TM Mining Company Limited</t>
  </si>
  <si>
    <t xml:space="preserve"> AS AT 31-03-2014</t>
  </si>
  <si>
    <t xml:space="preserve"> YEAR ENDED 31-03-2014</t>
  </si>
  <si>
    <t>Add: Corporate Social Responsibility Reserve</t>
  </si>
  <si>
    <t>Less: Provision for Diminution in value of investment</t>
  </si>
  <si>
    <r>
      <rPr>
        <b/>
        <sz val="8"/>
        <rFont val="Verdana"/>
        <family val="2"/>
      </rPr>
      <t>Less</t>
    </r>
    <r>
      <rPr>
        <sz val="8"/>
        <rFont val="Verdana"/>
        <family val="2"/>
      </rPr>
      <t>: Provision for Diminution in value of investment</t>
    </r>
  </si>
  <si>
    <t xml:space="preserve">   ii.SBI Premier Liquid Fund-Direct Plan-                   Daily Dividend.</t>
  </si>
  <si>
    <t>C. Others</t>
  </si>
  <si>
    <t>Research and Development Reserve -Opening Balance</t>
  </si>
  <si>
    <t>Research and Development Reserve</t>
  </si>
  <si>
    <t>Coal and Hycarbons</t>
  </si>
  <si>
    <t>Provision for permanent diminution in investment</t>
  </si>
  <si>
    <t>Fully paid 39,000 Equity shares of Rs.10/- each (P.Y. Fully paid 26,000 Equity shares of Rs.10/- each)</t>
  </si>
  <si>
    <r>
      <rPr>
        <sz val="8"/>
        <rFont val="Verdana"/>
        <family val="2"/>
      </rPr>
      <t>iv.</t>
    </r>
    <r>
      <rPr>
        <sz val="8"/>
        <rFont val="Times New Roman"/>
        <family val="1"/>
      </rPr>
      <t>    </t>
    </r>
    <r>
      <rPr>
        <sz val="8"/>
        <rFont val="Verdana"/>
        <family val="2"/>
      </rPr>
      <t>Income Tax (including advance income tax, TDS, refund due and VAT)</t>
    </r>
  </si>
  <si>
    <t>Fully paid 30,000,000 Equity shares of Rs.1/- each (P.Y. Fully paid 30,000,000 Equity shares of Rs.1/- each)</t>
  </si>
  <si>
    <t>31-03-2015</t>
  </si>
  <si>
    <t>No shareholder other than the promoters is holding more than 5% shares of the company. The shareholding of the promoters i.e. President of India as on 31-03-2015 is 993,312,000 shares (P.Y. 993,312,000 shares)</t>
  </si>
  <si>
    <t>BALANCE SHEET  AS  AT  31-03-2015</t>
  </si>
  <si>
    <t xml:space="preserve"> AS AT 31-03-2015</t>
  </si>
  <si>
    <t>STATEMENT OF PROFIT AND LOSS  FOR THE YEAR ENDED 31 MARCH, 2015</t>
  </si>
  <si>
    <t xml:space="preserve"> YEAR ENDED 31-03-2015</t>
  </si>
  <si>
    <t>2014-15</t>
  </si>
  <si>
    <t>d. Other Payables</t>
  </si>
  <si>
    <t>Forward Cover -Amount Payable to Bank</t>
  </si>
  <si>
    <t xml:space="preserve">                -Others (i)</t>
  </si>
  <si>
    <t>Deferred Tax Asset/ (Liability) as at 1.4.2014</t>
  </si>
  <si>
    <t>Credit / (Charge) during      2014-15</t>
  </si>
  <si>
    <t>Deferred Tax asset / (Liability) as at 31.3.2015</t>
  </si>
  <si>
    <t>Non Ferrous Metals</t>
  </si>
  <si>
    <t xml:space="preserve">    Contribution to provident fund and   other funds</t>
  </si>
  <si>
    <t>Seprate File</t>
  </si>
  <si>
    <r>
      <rPr>
        <sz val="8"/>
        <rFont val="Verdana"/>
        <family val="2"/>
      </rPr>
      <t>ii.</t>
    </r>
    <r>
      <rPr>
        <sz val="8"/>
        <rFont val="Times New Roman"/>
        <family val="1"/>
      </rPr>
      <t xml:space="preserve"> </t>
    </r>
    <r>
      <rPr>
        <sz val="8"/>
        <rFont val="Verdana"/>
        <family val="2"/>
      </rPr>
      <t>Post Ret. Medical Benefits (Open Group)</t>
    </r>
  </si>
  <si>
    <t>i. Leave encashment</t>
  </si>
  <si>
    <r>
      <rPr>
        <sz val="8"/>
        <rFont val="Verdana"/>
        <family val="2"/>
      </rPr>
      <t>iii.</t>
    </r>
    <r>
      <rPr>
        <sz val="8"/>
        <rFont val="Times New Roman"/>
        <family val="1"/>
      </rPr>
      <t> </t>
    </r>
    <r>
      <rPr>
        <sz val="8"/>
        <rFont val="Verdana"/>
        <family val="2"/>
      </rPr>
      <t>Half pay leave</t>
    </r>
  </si>
  <si>
    <r>
      <rPr>
        <sz val="8"/>
        <rFont val="Verdana"/>
        <family val="2"/>
      </rPr>
      <t>iii.</t>
    </r>
    <r>
      <rPr>
        <sz val="8"/>
        <rFont val="Times New Roman"/>
        <family val="1"/>
      </rPr>
      <t xml:space="preserve"> </t>
    </r>
    <r>
      <rPr>
        <sz val="8"/>
        <rFont val="Verdana"/>
        <family val="2"/>
      </rPr>
      <t>Post Ret. Medical Benefits (Open Group)</t>
    </r>
  </si>
  <si>
    <t>x.  Others</t>
  </si>
  <si>
    <t xml:space="preserve">                                        (Closed Group)</t>
  </si>
  <si>
    <r>
      <rPr>
        <sz val="8"/>
        <rFont val="Verdana"/>
        <family val="2"/>
      </rPr>
      <t>iv.</t>
    </r>
    <r>
      <rPr>
        <sz val="8"/>
        <rFont val="Times New Roman"/>
        <family val="1"/>
      </rPr>
      <t xml:space="preserve">  </t>
    </r>
    <r>
      <rPr>
        <sz val="8"/>
        <rFont val="Verdana"/>
        <family val="2"/>
      </rPr>
      <t>Service Award</t>
    </r>
  </si>
  <si>
    <r>
      <t>v</t>
    </r>
    <r>
      <rPr>
        <sz val="8"/>
        <rFont val="Verdana"/>
        <family val="2"/>
      </rPr>
      <t>.</t>
    </r>
    <r>
      <rPr>
        <sz val="8"/>
        <rFont val="Times New Roman"/>
        <family val="1"/>
      </rPr>
      <t> </t>
    </r>
    <r>
      <rPr>
        <sz val="8"/>
        <rFont val="Verdana"/>
        <family val="2"/>
      </rPr>
      <t>Compassionate Gratuity</t>
    </r>
  </si>
  <si>
    <r>
      <rPr>
        <sz val="8"/>
        <rFont val="Verdana"/>
        <family val="2"/>
      </rPr>
      <t>vi.</t>
    </r>
    <r>
      <rPr>
        <sz val="8"/>
        <rFont val="Times New Roman"/>
        <family val="1"/>
      </rPr>
      <t>    </t>
    </r>
    <r>
      <rPr>
        <sz val="8"/>
        <rFont val="Verdana"/>
        <family val="2"/>
      </rPr>
      <t>Emp. Family Benefit Scheme</t>
    </r>
  </si>
  <si>
    <t xml:space="preserve">        i. Leave encashment</t>
  </si>
  <si>
    <r>
      <rPr>
        <sz val="8"/>
        <rFont val="Verdana"/>
        <family val="2"/>
      </rPr>
      <t xml:space="preserve">        ii.</t>
    </r>
    <r>
      <rPr>
        <sz val="8"/>
        <rFont val="Times New Roman"/>
        <family val="1"/>
      </rPr>
      <t xml:space="preserve"> </t>
    </r>
    <r>
      <rPr>
        <sz val="8"/>
        <rFont val="Verdana"/>
        <family val="2"/>
      </rPr>
      <t>Post Ret. Medical Benefits (A+B)</t>
    </r>
  </si>
  <si>
    <t xml:space="preserve">                               Open Group (A)</t>
  </si>
  <si>
    <t xml:space="preserve">                               Closed Group (B)</t>
  </si>
  <si>
    <r>
      <rPr>
        <sz val="8"/>
        <rFont val="Verdana"/>
        <family val="2"/>
      </rPr>
      <t xml:space="preserve">        iii.</t>
    </r>
    <r>
      <rPr>
        <sz val="8"/>
        <rFont val="Times New Roman"/>
        <family val="1"/>
      </rPr>
      <t> </t>
    </r>
    <r>
      <rPr>
        <sz val="8"/>
        <rFont val="Verdana"/>
        <family val="2"/>
      </rPr>
      <t>Half pay leave</t>
    </r>
  </si>
  <si>
    <r>
      <rPr>
        <sz val="8"/>
        <rFont val="Verdana"/>
        <family val="2"/>
      </rPr>
      <t xml:space="preserve">        iv.</t>
    </r>
    <r>
      <rPr>
        <sz val="8"/>
        <rFont val="Times New Roman"/>
        <family val="1"/>
      </rPr>
      <t xml:space="preserve">  </t>
    </r>
    <r>
      <rPr>
        <sz val="8"/>
        <rFont val="Verdana"/>
        <family val="2"/>
      </rPr>
      <t>Service Award</t>
    </r>
  </si>
  <si>
    <r>
      <t xml:space="preserve">           v</t>
    </r>
    <r>
      <rPr>
        <sz val="8"/>
        <rFont val="Verdana"/>
        <family val="2"/>
      </rPr>
      <t>.</t>
    </r>
    <r>
      <rPr>
        <sz val="8"/>
        <rFont val="Times New Roman"/>
        <family val="1"/>
      </rPr>
      <t> </t>
    </r>
    <r>
      <rPr>
        <sz val="8"/>
        <rFont val="Verdana"/>
        <family val="2"/>
      </rPr>
      <t>Compassionate Gratuity</t>
    </r>
  </si>
  <si>
    <r>
      <rPr>
        <sz val="8"/>
        <rFont val="Verdana"/>
        <family val="2"/>
      </rPr>
      <t xml:space="preserve">        vi.</t>
    </r>
    <r>
      <rPr>
        <sz val="8"/>
        <rFont val="Times New Roman"/>
        <family val="1"/>
      </rPr>
      <t>    </t>
    </r>
    <r>
      <rPr>
        <sz val="8"/>
        <rFont val="Verdana"/>
        <family val="2"/>
      </rPr>
      <t>Emp. Family Benefit Scheme</t>
    </r>
  </si>
  <si>
    <r>
      <t xml:space="preserve">                                                   </t>
    </r>
    <r>
      <rPr>
        <sz val="8"/>
        <rFont val="Verdana"/>
        <family val="2"/>
      </rPr>
      <t>(Closing Group)</t>
    </r>
  </si>
  <si>
    <r>
      <rPr>
        <sz val="8"/>
        <rFont val="Times New Roman"/>
        <family val="1"/>
      </rPr>
      <t xml:space="preserve">viii   </t>
    </r>
    <r>
      <rPr>
        <sz val="8"/>
        <rFont val="Verdana"/>
        <family val="2"/>
      </rPr>
      <t>Compassionate Gratuity</t>
    </r>
  </si>
  <si>
    <r>
      <rPr>
        <sz val="8"/>
        <rFont val="Verdana"/>
        <family val="2"/>
      </rPr>
      <t>iii.</t>
    </r>
    <r>
      <rPr>
        <sz val="8"/>
        <rFont val="Times New Roman"/>
        <family val="1"/>
      </rPr>
      <t xml:space="preserve"> </t>
    </r>
    <r>
      <rPr>
        <sz val="8"/>
        <rFont val="Verdana"/>
        <family val="2"/>
      </rPr>
      <t xml:space="preserve">Post Ret. Medical Benefits </t>
    </r>
  </si>
  <si>
    <r>
      <t xml:space="preserve">                               </t>
    </r>
    <r>
      <rPr>
        <sz val="8"/>
        <rFont val="Verdana"/>
        <family val="2"/>
      </rPr>
      <t xml:space="preserve"> Open Group</t>
    </r>
  </si>
  <si>
    <r>
      <t xml:space="preserve">                                </t>
    </r>
    <r>
      <rPr>
        <sz val="8"/>
        <rFont val="Verdana"/>
        <family val="2"/>
      </rPr>
      <t>Closing Group</t>
    </r>
  </si>
  <si>
    <r>
      <t xml:space="preserve">(Amount in  </t>
    </r>
    <r>
      <rPr>
        <b/>
        <sz val="8"/>
        <rFont val="Rupee Foradian"/>
        <family val="2"/>
      </rPr>
      <t>`</t>
    </r>
    <r>
      <rPr>
        <b/>
        <sz val="8"/>
        <rFont val="Verdana"/>
        <family val="2"/>
      </rPr>
      <t>)</t>
    </r>
  </si>
  <si>
    <t>Credit / (Charge) during 2014-15</t>
  </si>
  <si>
    <t>Add:Opening Ajustment of Depriciation</t>
  </si>
  <si>
    <t>JHANDEWALAN (DRO)</t>
  </si>
  <si>
    <t>Loss Due to Pilferage</t>
  </si>
  <si>
    <t>B.    SECURITY DEPOSITS</t>
  </si>
  <si>
    <t>C.   LOANS AND ADVANCES TO RELATED PARTIES</t>
  </si>
  <si>
    <t>D.    OTHER LOANS AND ADVANCES</t>
  </si>
  <si>
    <t>v.  Corporate Social Responsibility</t>
  </si>
  <si>
    <r>
      <rPr>
        <sz val="8"/>
        <rFont val="Verdana"/>
        <family val="2"/>
      </rPr>
      <t>vi.</t>
    </r>
    <r>
      <rPr>
        <sz val="8"/>
        <rFont val="Times New Roman"/>
        <family val="1"/>
      </rPr>
      <t xml:space="preserve">   </t>
    </r>
    <r>
      <rPr>
        <sz val="8"/>
        <rFont val="Verdana"/>
        <family val="2"/>
      </rPr>
      <t>Provision for Litigation Settlements</t>
    </r>
  </si>
  <si>
    <t>CO</t>
  </si>
  <si>
    <t>Expenditure on Gomia Coal Block Charged off</t>
  </si>
  <si>
    <t xml:space="preserve">           -from Joint Venture company</t>
  </si>
  <si>
    <t>Provision for Litigation Settlements</t>
  </si>
  <si>
    <t>CSR Provision</t>
  </si>
  <si>
    <t>Provision for CSR</t>
  </si>
  <si>
    <t>CSR Expenditure (iii)</t>
  </si>
  <si>
    <t>Prior period items (iv)</t>
  </si>
  <si>
    <t>Provisions for Employee Benefits</t>
  </si>
  <si>
    <t>Total Assets</t>
  </si>
  <si>
    <t>MMTC</t>
  </si>
  <si>
    <t>REVENUE FROM OPERATIONS</t>
  </si>
  <si>
    <t>Equity</t>
  </si>
  <si>
    <t>MMTC Limited</t>
  </si>
  <si>
    <t>Adjustments</t>
  </si>
  <si>
    <t xml:space="preserve"> EQUITY AND LIABILITIES</t>
  </si>
  <si>
    <t xml:space="preserve">      (a) Equity Share capital </t>
  </si>
  <si>
    <t>Share application money pending allotment</t>
  </si>
  <si>
    <t>Non- current liabilities</t>
  </si>
  <si>
    <t xml:space="preserve">             (i) Long term borrowings</t>
  </si>
  <si>
    <t>Current liabilities</t>
  </si>
  <si>
    <t xml:space="preserve">             (iii) Other financial liabilities</t>
  </si>
  <si>
    <t>Non current assets</t>
  </si>
  <si>
    <t xml:space="preserve">             (i) Non current investments</t>
  </si>
  <si>
    <t xml:space="preserve">             (iii) Others</t>
  </si>
  <si>
    <t>Current assets</t>
  </si>
  <si>
    <t>A . Equity Share Capital</t>
  </si>
  <si>
    <t>Balance at the beginning of the reporting period</t>
  </si>
  <si>
    <r>
      <rPr>
        <sz val="12"/>
        <rFont val="Garamond"/>
        <family val="1"/>
      </rPr>
      <t>Changes in equity share capital during
the year</t>
    </r>
  </si>
  <si>
    <t>Balance at the end of the reporting period</t>
  </si>
  <si>
    <t>B. Other Equity</t>
  </si>
  <si>
    <t>Dividends</t>
  </si>
  <si>
    <t>Transfer to retained earnings</t>
  </si>
  <si>
    <t>01-04-2014</t>
  </si>
  <si>
    <r>
      <t>(</t>
    </r>
    <r>
      <rPr>
        <b/>
        <sz val="8"/>
        <rFont val="Rupee Foradian"/>
        <family val="2"/>
      </rPr>
      <t>`</t>
    </r>
    <r>
      <rPr>
        <b/>
        <sz val="8"/>
        <rFont val="Arial"/>
        <family val="2"/>
      </rPr>
      <t xml:space="preserve"> in million)</t>
    </r>
  </si>
  <si>
    <t>Opening balance as at    01-04-2014</t>
  </si>
  <si>
    <t>Balance as at 31-03-2015</t>
  </si>
  <si>
    <t>Dep Charged to P&amp;L:</t>
  </si>
  <si>
    <t>Opening balance as at 01-04-2014</t>
  </si>
  <si>
    <t>Furniture</t>
  </si>
  <si>
    <t>Development of Gomia Coal Block</t>
  </si>
  <si>
    <t>Fixed Assets</t>
  </si>
  <si>
    <t>Depreciation/Impairment</t>
  </si>
  <si>
    <t>Gross Block</t>
  </si>
  <si>
    <t>Capital work-in-progress</t>
  </si>
  <si>
    <t>Fixed Assets Schedule</t>
  </si>
  <si>
    <t>Remarks</t>
  </si>
  <si>
    <t xml:space="preserve">Classification need to be changed
</t>
  </si>
  <si>
    <t>Reassessment of impairment not to be done
as requested</t>
  </si>
  <si>
    <t>Implementation of Ind AS</t>
  </si>
  <si>
    <t>Value of investment property to carried in fixed assets</t>
  </si>
  <si>
    <t xml:space="preserve">JV agreement for 5th to 8th of building ended at </t>
  </si>
  <si>
    <t>Note</t>
  </si>
  <si>
    <t>Ind AS Implementation</t>
  </si>
  <si>
    <t>Value of investment property to be carried in Fixed Assets</t>
  </si>
  <si>
    <t>Details</t>
  </si>
  <si>
    <t>Value of Investment Property</t>
  </si>
  <si>
    <t>Financial Year ends at</t>
  </si>
  <si>
    <t>Number of days for which no rental income earned</t>
  </si>
  <si>
    <t>Date on which notice for vacation was served</t>
  </si>
  <si>
    <t>Number of flats included in investment property</t>
  </si>
  <si>
    <t>Number of flats for which notice was served</t>
  </si>
  <si>
    <t>Value of 4 flats (approx)</t>
  </si>
  <si>
    <t>(a) Property, Plant and Equipment</t>
  </si>
  <si>
    <t>A.    Provisions for Employee Benefits</t>
  </si>
  <si>
    <t xml:space="preserve"> I.   Secured, considered good</t>
  </si>
  <si>
    <t>Authorised Share Capital</t>
  </si>
  <si>
    <t>Issued, subscribed and fully paid</t>
  </si>
  <si>
    <t>Percentage</t>
  </si>
  <si>
    <t>Equity Shares</t>
  </si>
  <si>
    <t xml:space="preserve">Total </t>
  </si>
  <si>
    <t>Details of shareholders holding more than 5%</t>
  </si>
  <si>
    <t>Reconciliation of shares outstanding</t>
  </si>
  <si>
    <t>President of India</t>
  </si>
  <si>
    <t>No of Equity shares</t>
  </si>
  <si>
    <t>Other Intangible assets</t>
  </si>
  <si>
    <t>TRADE INVESTMENTS</t>
  </si>
  <si>
    <t>i. Secured ~ Considered good</t>
  </si>
  <si>
    <t xml:space="preserve">ii. Unsecured Considered good </t>
  </si>
  <si>
    <t>iii. Considered doubtful</t>
  </si>
  <si>
    <t>A. Trade Receivables Outstanding for a period exceeding six months</t>
  </si>
  <si>
    <t>iii.   Doubtful</t>
  </si>
  <si>
    <t>Other Current Liabilities</t>
  </si>
  <si>
    <t>Current Assets</t>
  </si>
  <si>
    <t>Other Non Current Assets</t>
  </si>
  <si>
    <t>A.    Capital Advances</t>
  </si>
  <si>
    <t>B.    Security Deposits</t>
  </si>
  <si>
    <t xml:space="preserve">      (b) Other Equity</t>
  </si>
  <si>
    <t xml:space="preserve">             (ii) Trade Payables</t>
  </si>
  <si>
    <t xml:space="preserve">   Doubtful</t>
  </si>
  <si>
    <t>a. Cheques, Drafts on hand</t>
  </si>
  <si>
    <t xml:space="preserve">c. Balances with Banks </t>
  </si>
  <si>
    <t xml:space="preserve">   Secured - Considered good </t>
  </si>
  <si>
    <t xml:space="preserve">   Unsecured - Considered good </t>
  </si>
  <si>
    <t>I. Cash and cash equivalents</t>
  </si>
  <si>
    <t>(b) Capital work-in-progress</t>
  </si>
  <si>
    <t xml:space="preserve">(c) Investment property </t>
  </si>
  <si>
    <t>(d) Goodwill</t>
  </si>
  <si>
    <t>(e) Other Intangible assets</t>
  </si>
  <si>
    <t>(f) Intangible assets under development</t>
  </si>
  <si>
    <t>(g) Biological Assets other than bearer plants</t>
  </si>
  <si>
    <t xml:space="preserve">(h) Financial Assets  </t>
  </si>
  <si>
    <t xml:space="preserve">             (iii) Loans</t>
  </si>
  <si>
    <t>(a) Inventories</t>
  </si>
  <si>
    <t>(b) Financial Assets</t>
  </si>
  <si>
    <t>(c) Current tax Assets</t>
  </si>
  <si>
    <t>(d) Other current assets</t>
  </si>
  <si>
    <t xml:space="preserve">    (i) Current investments</t>
  </si>
  <si>
    <t xml:space="preserve">    (ii) Trade receivables</t>
  </si>
  <si>
    <t xml:space="preserve">    (iii) Cash and cash equivalents</t>
  </si>
  <si>
    <t xml:space="preserve">    (iv) Bank Balances other than (iii) above</t>
  </si>
  <si>
    <t xml:space="preserve">    (v) Loans</t>
  </si>
  <si>
    <t xml:space="preserve">   (vi) Others</t>
  </si>
  <si>
    <t>(b) Provisions</t>
  </si>
  <si>
    <t>(a) Financial Liabilities</t>
  </si>
  <si>
    <t>(c) Deferred tax liabilities (Net)</t>
  </si>
  <si>
    <t>(d) Other non-current liabilities</t>
  </si>
  <si>
    <t xml:space="preserve">             (i) Borrowings</t>
  </si>
  <si>
    <t>(b) Other current liabilities</t>
  </si>
  <si>
    <t>(c) Provisions</t>
  </si>
  <si>
    <t>(d) Current Tax Liabilities (Net)</t>
  </si>
  <si>
    <t>Equity Components of compound financial instruments</t>
  </si>
  <si>
    <t>Securities Premium Reserve</t>
  </si>
  <si>
    <t>Changes in accounting policy or prior period errors</t>
  </si>
  <si>
    <t>Total comprehensive income for the year</t>
  </si>
  <si>
    <t>Any other changes</t>
  </si>
  <si>
    <t>Effective Portion of cash flow hedges</t>
  </si>
  <si>
    <t>Revaluation Surpluses</t>
  </si>
  <si>
    <t xml:space="preserve">Exchange difference on translation </t>
  </si>
  <si>
    <t>Other items of OCI</t>
  </si>
  <si>
    <t>Money received against share warrants</t>
  </si>
  <si>
    <t>Debt instruments through OCI</t>
  </si>
  <si>
    <t>Equity instruments through OCI</t>
  </si>
  <si>
    <t>I</t>
  </si>
  <si>
    <t>Non Current Trade Payable</t>
  </si>
  <si>
    <t>Bank balances other than (iii) above</t>
  </si>
  <si>
    <t xml:space="preserve">Capital Reserves </t>
  </si>
  <si>
    <t>Adjustments *</t>
  </si>
  <si>
    <t>* As per Schedule III, Long Term Trade Receivables have been transferred from Other Non Current Assets</t>
  </si>
  <si>
    <t xml:space="preserve">Adjustments </t>
  </si>
  <si>
    <t>Other Current Assets</t>
  </si>
  <si>
    <t>Other Equity</t>
  </si>
  <si>
    <t>- Accumulated depreciation and impairment</t>
  </si>
  <si>
    <t>Accumulated depreciation and impairment thereon</t>
  </si>
  <si>
    <t xml:space="preserve">                                                                    </t>
  </si>
  <si>
    <t>Gross carrying Amounts of PPE:-</t>
  </si>
  <si>
    <t>Principal Activity</t>
  </si>
  <si>
    <t>Place of Incorporation</t>
  </si>
  <si>
    <t>Unquoted Investments</t>
  </si>
  <si>
    <t>Cash and Cash Equivalents</t>
  </si>
  <si>
    <t>Name of Joint Venture</t>
  </si>
  <si>
    <t>(A)</t>
  </si>
  <si>
    <t>(B)</t>
  </si>
  <si>
    <t>I.   Secured, considered good</t>
  </si>
  <si>
    <t>III. Doubtful</t>
  </si>
  <si>
    <t>II.   Unsecured, considered good</t>
  </si>
  <si>
    <t>III.  Doubtful</t>
  </si>
  <si>
    <t>('C)</t>
  </si>
  <si>
    <t>(D)</t>
  </si>
  <si>
    <t>(C)</t>
  </si>
  <si>
    <t>Adjustments*</t>
  </si>
  <si>
    <t>Amounts</t>
  </si>
  <si>
    <t>Ownership And/or Control</t>
  </si>
  <si>
    <t>Details of Joint Venture</t>
  </si>
  <si>
    <t>Quoted Investments</t>
  </si>
  <si>
    <t>* As per schedule III, Bank deposits with maturity of more than 12 months have been reclassified as Other Financial Assets</t>
  </si>
  <si>
    <t>Property Plant and Equipment</t>
  </si>
  <si>
    <t>Residual Value</t>
  </si>
  <si>
    <t>Computer Software</t>
  </si>
  <si>
    <t xml:space="preserve">      (i) Deferred tax assets (net)</t>
  </si>
  <si>
    <t xml:space="preserve">      (j) Other non current assets  </t>
  </si>
  <si>
    <t>Other Financial Liabilities</t>
  </si>
  <si>
    <t>Capital Work-in-Progress (CWIP)</t>
  </si>
  <si>
    <t>Accumulated amortization and impairment thereon</t>
  </si>
  <si>
    <t xml:space="preserve"> Other Non-Current Liabilities</t>
  </si>
  <si>
    <t xml:space="preserve">Investment Property </t>
  </si>
  <si>
    <t>Option 1</t>
  </si>
  <si>
    <t>The fair value of the company’s investment property as at April 1, 2016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neighbourhood. The capitalisation rate adopted is made by reference to the yield rates observed by the valuers for similar properties in the locality and adjusted based on the valuers’ knowledge of the factors specific to the respective properties/other methods (describe)].
In estimating the fair value of the properties, the highest and best use of the properties is their current use.</t>
  </si>
  <si>
    <t xml:space="preserve">Details of investment properties and information about the fair value hierarchy as at the end of the report period are as follows:
</t>
  </si>
  <si>
    <t>Level 2</t>
  </si>
  <si>
    <t>Level 3</t>
  </si>
  <si>
    <t>Investment properties</t>
  </si>
  <si>
    <t>Valuation techniques</t>
  </si>
  <si>
    <t>Significant unobservable input(s)</t>
  </si>
  <si>
    <t>Sensitivity</t>
  </si>
  <si>
    <t>Option 2</t>
  </si>
  <si>
    <t>Fair value of the Investment properties cannot be reliably measured . Following are the information required:</t>
  </si>
  <si>
    <t>a. Description of the Investment properties</t>
  </si>
  <si>
    <t>c. Range of estimates within which fair value is highly likely to lie</t>
  </si>
  <si>
    <t>Notes to Financial Statements</t>
  </si>
  <si>
    <t xml:space="preserve">Investment in Equity instruments ~ Subsidiaries/Associates/JV
</t>
  </si>
  <si>
    <t>C.  Loan to Related Parties</t>
  </si>
  <si>
    <t xml:space="preserve">Non Current Investments </t>
  </si>
  <si>
    <t>The State Trading Corporation of India Limited</t>
  </si>
  <si>
    <t>As at
March 31, 2016</t>
  </si>
  <si>
    <t>Transitional Balance  Sheet as at April 01, 2016</t>
  </si>
  <si>
    <t>Statement of Changes in Equity as at April 01, 2016</t>
  </si>
  <si>
    <t>Rs in Cr.</t>
  </si>
  <si>
    <t>(Rupees in Cr.)</t>
  </si>
  <si>
    <t>Rs Cr.</t>
  </si>
  <si>
    <t>XXXXXX</t>
  </si>
  <si>
    <t>As at April 01, 2016</t>
  </si>
  <si>
    <t>Fair value As at April 01, 2016</t>
  </si>
  <si>
    <t>XXXXXXX (Fully paid up XXXX 
    Equity shares of  XXX each)</t>
  </si>
  <si>
    <t>XXXXXXXXXXXX</t>
  </si>
  <si>
    <t>i. XXXXXXX (Fully paid up XXXX 
    Equity shares of  XXX each)</t>
  </si>
  <si>
    <t>ii. XXXXXXX (Fully paid up XXXX 
    Equity shares of  XXX each)</t>
  </si>
  <si>
    <t>iii. XXXXXXX (Fully paid up XXXX 
    Equity shares of  XXX each)</t>
  </si>
  <si>
    <t>iv. XXXXXXX (Fully paid up XXXX 
    Equity shares of  XXX each)</t>
  </si>
  <si>
    <t xml:space="preserve">       XXXXXXXXXX </t>
  </si>
  <si>
    <t xml:space="preserve">       Fully paid XXXXXX Equity shares of Rs.XX/- each </t>
  </si>
  <si>
    <t>XXXXXXXXXX</t>
  </si>
  <si>
    <t>XXXXXXX Equity Shares of Rs.XX/- each</t>
  </si>
  <si>
    <t>As at
April 01, 2016</t>
  </si>
  <si>
    <t>Opening Balance Sheet as at April 01, 2016</t>
  </si>
  <si>
    <t>(Figures in Rupees Cr.)</t>
  </si>
  <si>
    <t>Building freehold</t>
  </si>
  <si>
    <t>Building leasehold</t>
  </si>
  <si>
    <t>Plant &amp; Machinery</t>
  </si>
  <si>
    <t>Furniture &amp; Fittings</t>
  </si>
  <si>
    <t>Motor Vehicle</t>
  </si>
  <si>
    <t>Computers, data processing units &amp; communication equipment</t>
  </si>
  <si>
    <t>Electrical Installations &amp; Equipment</t>
  </si>
  <si>
    <t>Roads, culverts &amp; sewerage etc</t>
  </si>
  <si>
    <t>Office Building</t>
  </si>
  <si>
    <t>Office Equipment</t>
  </si>
  <si>
    <t>Other Reserve (please specify nature)</t>
  </si>
  <si>
    <t>Plant &amp; Machinery Leasehold</t>
  </si>
  <si>
    <t xml:space="preserve">Retained Earnings </t>
  </si>
  <si>
    <t>A.  Long Term Trade Receivables</t>
  </si>
  <si>
    <t>(E)</t>
  </si>
  <si>
    <t>(F)</t>
  </si>
  <si>
    <t>A.    Stock in trade including with handling agents/local agent</t>
  </si>
  <si>
    <t>d. Interest accrued on Term Deposits :</t>
  </si>
  <si>
    <t xml:space="preserve">a. Other Balances with Banks </t>
  </si>
  <si>
    <t xml:space="preserve">Other Bank Balances </t>
  </si>
  <si>
    <t>- Term Deposit with banks :</t>
  </si>
  <si>
    <t xml:space="preserve">    Other  Deposits</t>
  </si>
  <si>
    <t>- Interest accrued on Term Deposits :</t>
  </si>
  <si>
    <t>(G)</t>
  </si>
  <si>
    <t>(H)</t>
  </si>
  <si>
    <t>TOTAL (A+B+C+D+E+F+G+H)</t>
  </si>
  <si>
    <t>iii. Trade Advances</t>
  </si>
  <si>
    <t>vii. Advance Tax</t>
  </si>
  <si>
    <t>D. Advance to employees</t>
  </si>
  <si>
    <t>E. Interest accrued on advance to employees</t>
  </si>
  <si>
    <t>F. Trade Advances</t>
  </si>
  <si>
    <t>H. Other Misc. Advances</t>
  </si>
  <si>
    <t>F. Cash &amp; Cash Equivalents</t>
  </si>
  <si>
    <t>i. Capital Advances</t>
  </si>
  <si>
    <t>ii. Security Deposit</t>
  </si>
  <si>
    <t>vi. Trade Advances</t>
  </si>
  <si>
    <t>viii. Other Misc. Advances</t>
  </si>
  <si>
    <t>* As per Schedule III, all Advances and deposits of non financial assets nature will be re-classified under Other Current Assets.</t>
  </si>
  <si>
    <t>vi. Other Misc. Advances</t>
  </si>
  <si>
    <t xml:space="preserve">v. Other </t>
  </si>
  <si>
    <t xml:space="preserve">   Prepaid Expenses</t>
  </si>
  <si>
    <t xml:space="preserve">   TA Advances</t>
  </si>
  <si>
    <t xml:space="preserve">   Advance for expenses</t>
  </si>
  <si>
    <t xml:space="preserve">   VAT Receivable - Input</t>
  </si>
  <si>
    <t xml:space="preserve">   Deposits</t>
  </si>
  <si>
    <t xml:space="preserve">   Tax deducted at source</t>
  </si>
  <si>
    <t xml:space="preserve">   Claims Recoverable:</t>
  </si>
  <si>
    <t xml:space="preserve">        - From Govt. of India </t>
  </si>
  <si>
    <t xml:space="preserve">        - From PSU Banks </t>
  </si>
  <si>
    <t xml:space="preserve">        - From PSU </t>
  </si>
  <si>
    <t xml:space="preserve">        - From Govt. Dept. </t>
  </si>
  <si>
    <t xml:space="preserve">        - From Business Associates</t>
  </si>
  <si>
    <t xml:space="preserve">        - Others</t>
  </si>
  <si>
    <t xml:space="preserve">   Others</t>
  </si>
  <si>
    <t>* As per Schedule III, all Advances and deposits of non financial assets nature will be re-classified under Other Current Assets</t>
  </si>
  <si>
    <t>Bonus Reserve</t>
  </si>
  <si>
    <t>Revaluation Reserve</t>
  </si>
  <si>
    <t>a) Bill Acceptances</t>
  </si>
  <si>
    <t xml:space="preserve">    - Micro, small &amp; Medium enterprises</t>
  </si>
  <si>
    <t xml:space="preserve">    - Others</t>
  </si>
  <si>
    <t>a. Customers at Credit</t>
  </si>
  <si>
    <t>b. Advance from customers</t>
  </si>
  <si>
    <t>c. Other liabilities</t>
  </si>
  <si>
    <t xml:space="preserve">    - Outstanding liabilities for goods &amp; services received</t>
  </si>
  <si>
    <t xml:space="preserve">    - Stale Cheques</t>
  </si>
  <si>
    <t xml:space="preserve">    - Deposits</t>
  </si>
  <si>
    <t xml:space="preserve">    - Security Deposits</t>
  </si>
  <si>
    <t xml:space="preserve">    - Earnest money deposits</t>
  </si>
  <si>
    <t>d. Employees' dues:</t>
  </si>
  <si>
    <t xml:space="preserve">    - Pay &amp; Allowances</t>
  </si>
  <si>
    <t xml:space="preserve">    - Dues to employees on accrual basis</t>
  </si>
  <si>
    <t xml:space="preserve">    - Encashment of earned leaves </t>
  </si>
  <si>
    <t xml:space="preserve">e. Remittances: </t>
  </si>
  <si>
    <t xml:space="preserve">    - STC's employees union</t>
  </si>
  <si>
    <t xml:space="preserve">    - Thrift Society</t>
  </si>
  <si>
    <t>Post Retirement medical benefits</t>
  </si>
  <si>
    <t>Long service awards</t>
  </si>
  <si>
    <t>I. Working Capital Loans</t>
  </si>
  <si>
    <t xml:space="preserve">     a) From Banks</t>
  </si>
  <si>
    <t xml:space="preserve">         - Cash Credit</t>
  </si>
  <si>
    <t xml:space="preserve">         - Working Capital Demand Loan</t>
  </si>
  <si>
    <t xml:space="preserve">         - Buyers Credit</t>
  </si>
  <si>
    <t>II. Other Loans &amp; Advances - Unsecured</t>
  </si>
  <si>
    <t>Encashment of Half pay leave</t>
  </si>
  <si>
    <t xml:space="preserve">        Encashment of Half pay leave</t>
  </si>
  <si>
    <t xml:space="preserve">        Post Retirement medical benefits</t>
  </si>
  <si>
    <t xml:space="preserve">        Long service awards</t>
  </si>
  <si>
    <t xml:space="preserve">        Performance Related Pay</t>
  </si>
  <si>
    <t>B.    Other Provisions</t>
  </si>
  <si>
    <t xml:space="preserve">        Contingencies</t>
  </si>
  <si>
    <t>c. Unclaimed dividend</t>
  </si>
  <si>
    <t>d. Investor Education &amp; Protection Fund</t>
  </si>
  <si>
    <t>e. Current Maturities of Long Term Borrowings</t>
  </si>
  <si>
    <t>f. Other liabilities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</si>
  <si>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</si>
  <si>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</si>
  <si>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</si>
  <si>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</si>
  <si>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</si>
  <si>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</si>
  <si>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</si>
  <si>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</si>
  <si>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STC's Officers' Association</t>
  </si>
  <si>
    <t xml:space="preserve">    - STC's SC/ST Employees Welfare Association</t>
  </si>
  <si>
    <t xml:space="preserve">    - Contribution to Provident Fund</t>
  </si>
  <si>
    <t xml:space="preserve">    - Contribution to Employees Pension Scheme - 95</t>
  </si>
  <si>
    <t xml:space="preserve">    - Contribution to Employees Pension Fund</t>
  </si>
  <si>
    <t xml:space="preserve">    - Salary Saving scheme</t>
  </si>
  <si>
    <t>Level 1</t>
  </si>
  <si>
    <t>Name of Associates</t>
  </si>
  <si>
    <t xml:space="preserve">Details of Associates </t>
  </si>
  <si>
    <t>II.  Unsecured, considered good</t>
  </si>
  <si>
    <t xml:space="preserve">II.  Unsecured, considered good </t>
  </si>
  <si>
    <t>B.     Stores and spares</t>
  </si>
  <si>
    <t>C.     Loose tools</t>
  </si>
  <si>
    <t>D.    Packing Materials</t>
  </si>
  <si>
    <t>E.    Stationery</t>
  </si>
  <si>
    <t>F.    Others (specify nature).</t>
  </si>
  <si>
    <t xml:space="preserve">ii.   Unsecured Considered good </t>
  </si>
  <si>
    <t>b. Cash in hand</t>
  </si>
  <si>
    <t>Opening</t>
  </si>
  <si>
    <t>Issued during the year</t>
  </si>
  <si>
    <t>Closing</t>
  </si>
  <si>
    <t>b. Other liabilities</t>
  </si>
  <si>
    <t>c. Employees' dues:</t>
  </si>
  <si>
    <t xml:space="preserve">d. Remittances: </t>
  </si>
  <si>
    <t>g. Employees' dues:</t>
  </si>
  <si>
    <t xml:space="preserve">f. Remittances: </t>
  </si>
  <si>
    <t>g. Interest accrued but not due on borrowings</t>
  </si>
  <si>
    <t>h. Interest accrued and due on borrowings</t>
  </si>
  <si>
    <t>Transition Reserve</t>
  </si>
  <si>
    <t>* As per Schedule III, non financial liabilities will be re-classified under Other non-current Liabilities</t>
  </si>
  <si>
    <t xml:space="preserve">        Gratuity</t>
  </si>
  <si>
    <t xml:space="preserve">        Exchange Difference on Forward Contract</t>
  </si>
  <si>
    <t>Detail of wholly owned subsidiary</t>
  </si>
  <si>
    <t>Name of Subsidiary</t>
  </si>
  <si>
    <t xml:space="preserve">    Secured - Considered Good </t>
  </si>
  <si>
    <t xml:space="preserve">    Unsecured - Considered Good </t>
  </si>
  <si>
    <t xml:space="preserve">    Doubtful</t>
  </si>
  <si>
    <t>Exchange Fluctuation Reserve</t>
  </si>
  <si>
    <t>Surplus/deficient as per Statement of Profit and Loss</t>
  </si>
  <si>
    <t>Net block March 31, 2016</t>
  </si>
  <si>
    <t>I. Impairment Losses recognised till date</t>
  </si>
  <si>
    <t>Fair value measurement of investment properties for disclosure purposes</t>
  </si>
  <si>
    <t>b. Explanation for non measurement of the fair value</t>
  </si>
  <si>
    <t xml:space="preserve">             (ii) Trade Receivables</t>
  </si>
  <si>
    <t>For investment properties categorised into Level 3 of the fair value heirarchy, the following information is relevant:</t>
  </si>
  <si>
    <t xml:space="preserve">II. </t>
  </si>
  <si>
    <t>A.   Investment in Equity instrument ~ Subsidiaries</t>
  </si>
  <si>
    <t>B.   Investment in Equity instrument ~ Associates</t>
  </si>
  <si>
    <t>C.   Investment in Equity instrument ~ Joint Ventures</t>
  </si>
  <si>
    <t>D)    Others</t>
  </si>
  <si>
    <t>Dissallowance under Income Tax Act</t>
  </si>
  <si>
    <t>Deferred Tax</t>
  </si>
  <si>
    <t>Deferred Tax Assets</t>
  </si>
  <si>
    <t>Deferred Tax Liabilities</t>
  </si>
  <si>
    <t>Related to Fixed Assets</t>
  </si>
  <si>
    <t xml:space="preserve">         - Current Account</t>
  </si>
  <si>
    <t xml:space="preserve">         - In Dividend Balance Account</t>
  </si>
  <si>
    <t xml:space="preserve">         - Cash Credit Account</t>
  </si>
  <si>
    <t xml:space="preserve">         - Term Deposits with maturity upto 3 months</t>
  </si>
  <si>
    <t xml:space="preserve">         - Other Deposit with 3 months or less maturity</t>
  </si>
  <si>
    <t xml:space="preserve">         - Other Deposits</t>
  </si>
  <si>
    <t xml:space="preserve">       - In Dividend Balance Account</t>
  </si>
  <si>
    <t xml:space="preserve">       - As Margin money/under lien</t>
  </si>
  <si>
    <t xml:space="preserve">       - In term deposits with maturity more than 3 and upto 12 months</t>
  </si>
  <si>
    <t>Deemed Cost as at April 01, 2016</t>
  </si>
  <si>
    <t xml:space="preserve">v. XXXXXXXXX 
   (Fully paid XXXXXX Shares of Rs.XX)                         
  Less : Impairement in value of investment </t>
  </si>
  <si>
    <t xml:space="preserve">     Less Impairement in value of investments</t>
  </si>
  <si>
    <t>iii. Loans to Related Parties</t>
  </si>
  <si>
    <t>Current Tax Assets (Net)</t>
  </si>
  <si>
    <t>b) Trade Payables</t>
  </si>
  <si>
    <t>b) Trade Payable</t>
  </si>
  <si>
    <t>b) Trade Paybles</t>
  </si>
  <si>
    <t>Non Current Provisions</t>
  </si>
  <si>
    <t>b. Interest accrued but not due on borrowings</t>
  </si>
  <si>
    <t>c. Interest accrued and due on borrowings</t>
  </si>
  <si>
    <t>d. Current Maturities of Long Term Borrowings</t>
  </si>
  <si>
    <t xml:space="preserve">    - Premium payable on Forward Contract</t>
  </si>
  <si>
    <t xml:space="preserve">        Others (specify nature)</t>
  </si>
  <si>
    <t xml:space="preserve">       Less: Impairement in value of investment</t>
  </si>
  <si>
    <t>Less : Allowance for bad and doubtful receivables</t>
  </si>
  <si>
    <t>Less: Allowance for bad and doubtful</t>
  </si>
  <si>
    <t>Less: Allowance for bad and doubtful advances</t>
  </si>
  <si>
    <t>G. Advance Tax (net of Allowance)</t>
  </si>
  <si>
    <t>Less: Allowance for bad and doubtful debts</t>
  </si>
  <si>
    <t xml:space="preserve">Less: Allowance for bad and doubtful debts </t>
  </si>
  <si>
    <t xml:space="preserve">Less : Allowance for Bad and Doubtful loans and advances </t>
  </si>
  <si>
    <t>iv. Loan to Employees</t>
  </si>
  <si>
    <t>v. Interest accrued on loan to Employees</t>
  </si>
  <si>
    <t>Other Financial Asset - Current</t>
  </si>
  <si>
    <t>Other Financial Assets - Non Current</t>
  </si>
  <si>
    <t>Trade Receivable - Non Current</t>
  </si>
  <si>
    <t>Loans - Non Current</t>
  </si>
  <si>
    <t xml:space="preserve">    Deposit pledged / Under Lien as margin Money</t>
  </si>
  <si>
    <t xml:space="preserve">    Term deposit with maturity more than 12 months</t>
  </si>
  <si>
    <t xml:space="preserve">        - Term deposits with maturity more than 12 Months</t>
  </si>
  <si>
    <t xml:space="preserve">        - Other  Deposits</t>
  </si>
  <si>
    <t>b)Interest accrued on loan to Employees</t>
  </si>
  <si>
    <t>a)Interest accrued on:</t>
  </si>
  <si>
    <t xml:space="preserve">        - Term deposits with maturity more than 3 and upto 12 months</t>
  </si>
  <si>
    <t>Loans - Current</t>
  </si>
  <si>
    <t xml:space="preserve">* As per Schedule III, current tax assets have been shown separately as a new line item Current Tax Assets. </t>
  </si>
  <si>
    <t xml:space="preserve">        - Term deposits with maturity less than 3 months</t>
  </si>
  <si>
    <t>c)Other</t>
  </si>
  <si>
    <t>Income Tax</t>
  </si>
  <si>
    <t>* As per Schedule III, current tax assets have been shown separately as a new line item Current Tax Assets.</t>
  </si>
  <si>
    <t>* As per Schedule III, Balances other than those forming a part of Cash and cash Equivalents, excluding fixed deposit receipts greater than 12 months, have been transferred to a new line item "Bank Balances other than Cash and Cash equivalents"</t>
  </si>
  <si>
    <t xml:space="preserve">* As per revised schedule III, Balances other than those forming a part of Cash and cash Equivalents have been transferred to a new line item "Bank Balances other than Cash and Cash equivalents". These include dividend Balance, margin accounts and term deposits greater that 3 months and upto 12 months. </t>
  </si>
  <si>
    <t xml:space="preserve">* As per Schedule III, Long Term Trade Receivables clubbed under Other Non current Assets have been re classified to new line item "Long Term Trade Receivable". </t>
  </si>
  <si>
    <t>* As per schedule III, Bank deposits with maturity of more than 12 months have been reclassified as Other Financial Assets.</t>
  </si>
  <si>
    <t>* All advances and deposits of non financial assets nature have been clubbed under Other Non Current Assets.</t>
  </si>
  <si>
    <t>* All non financial advances and deposits (e.g. Capital advances, Trade advances, security deposits) have been clubbed under Other Non Current Assets.</t>
  </si>
  <si>
    <t>I.   Secured, considered good</t>
  </si>
  <si>
    <t>II.  Unsecured,  considered good</t>
  </si>
  <si>
    <t xml:space="preserve">ii.  Unsecured Considered good </t>
  </si>
  <si>
    <t>i.   Secured ~ Considered good</t>
  </si>
  <si>
    <t>I.     Secured, considered good</t>
  </si>
  <si>
    <t>II.   Unsecured,  considered good</t>
  </si>
  <si>
    <t>III.  Doubtful</t>
  </si>
  <si>
    <t>B.  Capital Advances</t>
  </si>
  <si>
    <t>C.  Security Deposits</t>
  </si>
  <si>
    <t>D. Advances to Related Parties</t>
  </si>
  <si>
    <t>E. Claims recoverable</t>
  </si>
  <si>
    <t>G. Trade Advances</t>
  </si>
  <si>
    <t>H. Others</t>
  </si>
  <si>
    <t>Borrowings - Current</t>
  </si>
  <si>
    <t>Trade Payable - Current</t>
  </si>
  <si>
    <t>* As per Schedule III, financial liabilities will be re-classified under Other financial Liabilities.</t>
  </si>
  <si>
    <t>Provisions - Current</t>
  </si>
  <si>
    <t xml:space="preserve">           Secured - Considered good </t>
  </si>
  <si>
    <t xml:space="preserve">           Unsecured - Considered good </t>
  </si>
  <si>
    <t xml:space="preserve">           Doubtful</t>
  </si>
  <si>
    <t>Equity Share Capital</t>
  </si>
  <si>
    <t>Justification/Explanation for adjusment, if any</t>
  </si>
</sst>
</file>

<file path=xl/styles.xml><?xml version="1.0" encoding="utf-8"?>
<styleSheet xmlns="http://schemas.openxmlformats.org/spreadsheetml/2006/main" xmlns:mc="http://schemas.openxmlformats.org/markup-compatibility/2006" xmlns:x14ac="http://schemas.microsoft.com/office/spreadsheetml/2009/9/ac" mc:Ignorable="x14ac">
  <numFmts count="55">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quot;Rs.&quot;* #,##0.00_);_(&quot;Rs.&quot;* \(#,##0.00\);_(&quot;Rs.&quot;* &quot;-&quot;??_);_(@_)"/>
    <numFmt numFmtId="167" formatCode="_(* #,##0_);_(* \(#,##0\);_(* &quot;-&quot;??_);_(@_)"/>
    <numFmt numFmtId="168" formatCode="0_);\(0\)"/>
    <numFmt numFmtId="169" formatCode="0.00_);\(0.00\)"/>
    <numFmt numFmtId="170" formatCode="0_);[Red]\(0\)"/>
    <numFmt numFmtId="171" formatCode="_(* #,##0.0000_);_(* \(#,##0.0000\);_(* &quot;-&quot;??_);_(@_)"/>
    <numFmt numFmtId="172" formatCode="_(* #,##0.000_);_(* \(#,##0.000\);_(* &quot;-&quot;??_);_(@_)"/>
    <numFmt numFmtId="173" formatCode="0.0000000"/>
    <numFmt numFmtId="174" formatCode="_(* #,##0.0000000_);_(* \(#,##0.0000000\);_(* &quot;-&quot;??_);_(@_)"/>
    <numFmt numFmtId="175" formatCode="_(* #,##0.000000_);_(* \(#,##0.000000\);_(* &quot;-&quot;??_);_(@_)"/>
    <numFmt numFmtId="176" formatCode="0.0000"/>
    <numFmt numFmtId="177" formatCode="0.0"/>
    <numFmt numFmtId="178" formatCode="General_)"/>
    <numFmt numFmtId="179" formatCode="0.000"/>
    <numFmt numFmtId="180" formatCode="_ * #,##0.00_)&quot;Rs.&quot;_ ;_ * \(#,##0.00\)&quot;Rs.&quot;_ ;_ * &quot;-&quot;??_)&quot;Rs.&quot;_ ;_ @_ "/>
    <numFmt numFmtId="181" formatCode="_ * #,##0.00_)_£_ ;_ * \(#,##0.00\)_£_ ;_ * &quot;-&quot;??_)_£_ ;_ @_ "/>
    <numFmt numFmtId="182" formatCode="_(* #,##0.00_);_(* \(#,##0.00\);_(* \-??_);_(@_)"/>
    <numFmt numFmtId="183" formatCode="&quot;$&quot;#,;\(&quot;$&quot;#,\)"/>
    <numFmt numFmtId="184" formatCode="&quot;$&quot;#,##0.00;[Red]\-&quot;$&quot;#,##0.00"/>
    <numFmt numFmtId="185" formatCode="_ * #.0\ ##0_ ;_ * \-#.0\ ##0_ ;_ * &quot;-&quot;??_ ;_ @_ "/>
    <numFmt numFmtId="186" formatCode="0%_);\(0%\)"/>
    <numFmt numFmtId="187" formatCode="_-* #,##0\ _F_-;\-* #,##0\ _F_-;_-* &quot;-&quot;\ _F_-;_-@_-"/>
    <numFmt numFmtId="188" formatCode="#,##0\ &quot;F&quot;;[Red]\-#,##0\ &quot;F&quot;"/>
    <numFmt numFmtId="189" formatCode="#,##0.00\ &quot;F&quot;;\-#,##0.00\ &quot;F&quot;"/>
    <numFmt numFmtId="190" formatCode="_ &quot;SFr.&quot;\ * #,##0_ ;_ &quot;SFr.&quot;\ * \-#,##0_ ;_ &quot;SFr.&quot;\ * &quot;-&quot;_ ;_ @_ "/>
    <numFmt numFmtId="191" formatCode="_ &quot;SFr.&quot;\ * #,##0.00_ ;_ &quot;SFr.&quot;\ * \-#,##0.00_ ;_ &quot;SFr.&quot;\ * &quot;-&quot;??_ ;_ @_ "/>
    <numFmt numFmtId="192" formatCode="&quot;Rs&quot;#,##0.00_);\(&quot;Rs&quot;#,##0.00\)"/>
    <numFmt numFmtId="193" formatCode="#,##0.00000"/>
    <numFmt numFmtId="194" formatCode="#,##0.0%_);[Red]\(#,##0.0%\)"/>
    <numFmt numFmtId="195" formatCode="0.000%"/>
    <numFmt numFmtId="196" formatCode="_-* #,##0.00\ _F_-;\-* #,##0.00\ _F_-;_-* &quot;-&quot;??\ _F_-;_-@_-"/>
    <numFmt numFmtId="197" formatCode="_(&quot;Cr$&quot;* #,##0_);_(&quot;Cr$&quot;* \(#,##0\);_(&quot;Cr$&quot;* &quot;-&quot;_);_(@_)"/>
    <numFmt numFmtId="198" formatCode="_(&quot;Cr$&quot;* #,##0.00_);_(&quot;Cr$&quot;* \(#,##0.00\);_(&quot;Cr$&quot;* &quot;-&quot;??_);_(@_)"/>
    <numFmt numFmtId="199" formatCode="_-* #,##0\ &quot;F&quot;_-;\-* #,##0\ &quot;F&quot;_-;_-* &quot;-&quot;\ &quot;F&quot;_-;_-@_-"/>
    <numFmt numFmtId="200" formatCode="_-* #,##0.00\ &quot;F&quot;_-;\-* #,##0.00\ &quot;F&quot;_-;_-* &quot;-&quot;??\ &quot;F&quot;_-;_-@_-"/>
    <numFmt numFmtId="201" formatCode="&quot;L.&quot;\ #,##0;\-&quot;L.&quot;\ #,##0"/>
    <numFmt numFmtId="202" formatCode="&quot;L.&quot;\ #,##0;[Red]\-&quot;L.&quot;\ #,##0"/>
    <numFmt numFmtId="203" formatCode="yy/mm/dd"/>
    <numFmt numFmtId="204" formatCode="_-&quot;$&quot;* #,##0_-;\-&quot;$&quot;* #,##0_-;_-&quot;$&quot;* &quot;-&quot;_-;_-@_-"/>
    <numFmt numFmtId="205" formatCode="&quot;\&quot;#,##0;[Red]&quot;\&quot;\-#,##0"/>
    <numFmt numFmtId="206" formatCode="&quot;\&quot;#,##0.00;[Red]&quot;\&quot;\-#,##0.00"/>
    <numFmt numFmtId="207" formatCode="#,##0,"/>
    <numFmt numFmtId="208" formatCode="#,##0,_);\(#,##0,\)"/>
    <numFmt numFmtId="209" formatCode="&quot;US$&quot;#,##0"/>
    <numFmt numFmtId="210" formatCode="[$JPY]\ #,##0_);[Red]\([$JPY]\ #,##0\)"/>
    <numFmt numFmtId="211" formatCode="&quot;$&quot;#,###"/>
    <numFmt numFmtId="212" formatCode="&quot;$&quot;#,##0"/>
    <numFmt numFmtId="213" formatCode="_(* #,##0.0_);_(* \(#,##0.0\);_(* &quot;-&quot;??_);_(@_)"/>
    <numFmt numFmtId="214" formatCode="[$-409]mmmm\ d\,\ yyyy;@"/>
  </numFmts>
  <fonts count="185">
    <font>
      <sz val="10"/>
      <name val="Arial"/>
    </font>
    <font>
      <sz val="11"/>
      <color theme="1"/>
      <name val="Calibri"/>
      <family val="2"/>
      <scheme val="minor"/>
    </font>
    <font>
      <sz val="10"/>
      <name val="Arial"/>
      <family val="2"/>
    </font>
    <font>
      <sz val="8"/>
      <name val="Arial"/>
      <family val="2"/>
    </font>
    <font>
      <b/>
      <sz val="8"/>
      <name val="Verdana"/>
      <family val="2"/>
    </font>
    <font>
      <sz val="8"/>
      <name val="Verdana"/>
      <family val="2"/>
    </font>
    <font>
      <b/>
      <u/>
      <sz val="8"/>
      <name val="Verdana"/>
      <family val="2"/>
    </font>
    <font>
      <b/>
      <sz val="8"/>
      <name val="Rupee Foradian"/>
      <family val="2"/>
    </font>
    <font>
      <sz val="8"/>
      <color indexed="9"/>
      <name val="Verdana"/>
      <family val="2"/>
    </font>
    <font>
      <vertAlign val="superscript"/>
      <sz val="8"/>
      <name val="Verdana"/>
      <family val="2"/>
    </font>
    <font>
      <sz val="8"/>
      <color indexed="8"/>
      <name val="Verdana"/>
      <family val="2"/>
    </font>
    <font>
      <b/>
      <sz val="8"/>
      <name val="Times New Roman"/>
      <family val="1"/>
    </font>
    <font>
      <sz val="8"/>
      <name val="Times New Roman"/>
      <family val="1"/>
    </font>
    <font>
      <sz val="11"/>
      <name val="Verdana"/>
      <family val="2"/>
    </font>
    <font>
      <sz val="8"/>
      <name val="Rupee Foradian"/>
      <family val="2"/>
    </font>
    <font>
      <b/>
      <sz val="11"/>
      <name val="Verdana"/>
      <family val="2"/>
    </font>
    <font>
      <b/>
      <sz val="18"/>
      <name val="Arial"/>
      <family val="2"/>
    </font>
    <font>
      <sz val="10"/>
      <name val="Arial"/>
      <family val="2"/>
    </font>
    <font>
      <b/>
      <sz val="10"/>
      <name val="Verdana"/>
      <family val="2"/>
    </font>
    <font>
      <b/>
      <sz val="10"/>
      <name val="Rupee Foradian"/>
      <family val="2"/>
    </font>
    <font>
      <b/>
      <sz val="8"/>
      <color indexed="10"/>
      <name val="Verdana"/>
      <family val="2"/>
    </font>
    <font>
      <sz val="8"/>
      <name val="Arial"/>
      <family val="2"/>
    </font>
    <font>
      <b/>
      <sz val="8"/>
      <name val="Arial"/>
      <family val="2"/>
    </font>
    <font>
      <u/>
      <sz val="8"/>
      <name val="Verdana"/>
      <family val="2"/>
    </font>
    <font>
      <b/>
      <u/>
      <sz val="11"/>
      <color indexed="10"/>
      <name val="Arial"/>
      <family val="2"/>
    </font>
    <font>
      <b/>
      <sz val="9"/>
      <name val="Arial"/>
      <family val="2"/>
    </font>
    <font>
      <sz val="8"/>
      <color indexed="10"/>
      <name val="Arial"/>
      <family val="2"/>
    </font>
    <font>
      <sz val="9"/>
      <name val="Times New Roman"/>
      <family val="1"/>
    </font>
    <font>
      <sz val="10"/>
      <name val="Times New Roman"/>
      <family val="1"/>
    </font>
    <font>
      <b/>
      <sz val="8"/>
      <color indexed="10"/>
      <name val="Arial"/>
      <family val="2"/>
    </font>
    <font>
      <b/>
      <sz val="10"/>
      <name val="Arial"/>
      <family val="2"/>
    </font>
    <font>
      <sz val="8"/>
      <color indexed="9"/>
      <name val="Arial"/>
      <family val="2"/>
    </font>
    <font>
      <sz val="9"/>
      <name val="Verdana"/>
      <family val="2"/>
    </font>
    <font>
      <sz val="8"/>
      <color theme="0"/>
      <name val="Verdana"/>
      <family val="2"/>
    </font>
    <font>
      <sz val="8"/>
      <color rgb="FFFF0000"/>
      <name val="Verdana"/>
      <family val="2"/>
    </font>
    <font>
      <b/>
      <sz val="18"/>
      <name val="Verdana"/>
      <family val="2"/>
    </font>
    <font>
      <sz val="10"/>
      <name val="Verdana"/>
      <family val="2"/>
    </font>
    <font>
      <b/>
      <u/>
      <sz val="10"/>
      <name val="Arial"/>
      <family val="2"/>
    </font>
    <font>
      <sz val="10"/>
      <color rgb="FF000000"/>
      <name val="Times New Roman"/>
      <family val="1"/>
    </font>
    <font>
      <sz val="8"/>
      <name val="Tahoma"/>
      <family val="2"/>
    </font>
    <font>
      <sz val="12"/>
      <color rgb="FF000000"/>
      <name val="Garamond"/>
      <family val="1"/>
    </font>
    <font>
      <b/>
      <sz val="12"/>
      <name val="Garamond"/>
      <family val="1"/>
    </font>
    <font>
      <sz val="12"/>
      <name val="Garamond"/>
      <family val="1"/>
    </font>
    <font>
      <b/>
      <sz val="10"/>
      <name val="Times New Roman"/>
      <family val="1"/>
    </font>
    <font>
      <b/>
      <sz val="11"/>
      <name val="Times New Roman"/>
      <family val="1"/>
    </font>
    <font>
      <sz val="11"/>
      <name val="Times New Roman"/>
      <family val="1"/>
    </font>
    <font>
      <sz val="12"/>
      <name val="Times New Roman"/>
      <family val="1"/>
    </font>
    <font>
      <sz val="11"/>
      <color indexed="8"/>
      <name val="Calibri"/>
      <family val="2"/>
    </font>
    <font>
      <sz val="14"/>
      <name val="Arial"/>
      <family val="2"/>
    </font>
    <font>
      <b/>
      <sz val="14"/>
      <name val="Arial"/>
      <family val="2"/>
    </font>
    <font>
      <b/>
      <sz val="11"/>
      <name val="Arial"/>
      <family val="2"/>
    </font>
    <font>
      <i/>
      <sz val="12"/>
      <name val="Times New Roman"/>
      <family val="1"/>
    </font>
    <font>
      <b/>
      <sz val="13"/>
      <name val="Times New Roman"/>
      <family val="1"/>
    </font>
    <font>
      <sz val="10"/>
      <name val="Times New Roman"/>
      <family val="1"/>
      <charset val="177"/>
    </font>
    <font>
      <sz val="11"/>
      <color theme="1"/>
      <name val="Calibri"/>
      <family val="2"/>
    </font>
    <font>
      <sz val="11"/>
      <color indexed="8"/>
      <name val="Tahoma"/>
      <family val="2"/>
      <charset val="222"/>
    </font>
    <font>
      <sz val="11"/>
      <color indexed="9"/>
      <name val="Calibri"/>
      <family val="2"/>
    </font>
    <font>
      <sz val="11"/>
      <color theme="0"/>
      <name val="Calibri"/>
      <family val="2"/>
    </font>
    <font>
      <sz val="11"/>
      <color indexed="9"/>
      <name val="Tahoma"/>
      <family val="2"/>
      <charset val="222"/>
    </font>
    <font>
      <sz val="11"/>
      <color indexed="20"/>
      <name val="Calibri"/>
      <family val="2"/>
    </font>
    <font>
      <sz val="11"/>
      <color rgb="FF9C0006"/>
      <name val="Calibri"/>
      <family val="2"/>
    </font>
    <font>
      <sz val="12"/>
      <name val="Tms Rmn"/>
    </font>
    <font>
      <b/>
      <sz val="10"/>
      <color indexed="10"/>
      <name val="Arial"/>
      <family val="2"/>
    </font>
    <font>
      <b/>
      <sz val="11"/>
      <color indexed="52"/>
      <name val="Calibri"/>
      <family val="2"/>
    </font>
    <font>
      <b/>
      <sz val="11"/>
      <color rgb="FFFA7D00"/>
      <name val="Calibri"/>
      <family val="2"/>
    </font>
    <font>
      <b/>
      <sz val="12"/>
      <name val="Arial"/>
      <family val="2"/>
    </font>
    <font>
      <b/>
      <sz val="10"/>
      <name val="Helv"/>
      <family val="2"/>
    </font>
    <font>
      <b/>
      <sz val="11"/>
      <color indexed="9"/>
      <name val="Calibri"/>
      <family val="2"/>
    </font>
    <font>
      <b/>
      <sz val="11"/>
      <color theme="0"/>
      <name val="Calibri"/>
      <family val="2"/>
    </font>
    <font>
      <sz val="12"/>
      <name val="Helv"/>
    </font>
    <font>
      <sz val="11"/>
      <name val="ＭＳ Ｐゴシック"/>
      <family val="3"/>
      <charset val="128"/>
    </font>
    <font>
      <u/>
      <sz val="8.25"/>
      <color indexed="12"/>
      <name val="ＭＳ Ｐゴシック"/>
      <family val="3"/>
      <charset val="128"/>
    </font>
    <font>
      <sz val="10"/>
      <color indexed="22"/>
      <name val="MS Sans Serif"/>
      <family val="2"/>
    </font>
    <font>
      <sz val="10"/>
      <color indexed="8"/>
      <name val="Arial"/>
      <family val="2"/>
    </font>
    <font>
      <sz val="10"/>
      <name val="MS Sans Serif"/>
      <family val="2"/>
    </font>
    <font>
      <i/>
      <sz val="11"/>
      <color indexed="23"/>
      <name val="Calibri"/>
      <family val="2"/>
    </font>
    <font>
      <i/>
      <sz val="11"/>
      <color rgb="FF7F7F7F"/>
      <name val="Calibri"/>
      <family val="2"/>
    </font>
    <font>
      <sz val="11"/>
      <color indexed="17"/>
      <name val="Calibri"/>
      <family val="2"/>
    </font>
    <font>
      <sz val="11"/>
      <color rgb="FF006100"/>
      <name val="Calibri"/>
      <family val="2"/>
    </font>
    <font>
      <b/>
      <sz val="12"/>
      <name val="Helv"/>
      <family val="2"/>
    </font>
    <font>
      <b/>
      <sz val="8"/>
      <color indexed="8"/>
      <name val="Tahoma"/>
      <family val="2"/>
    </font>
    <font>
      <b/>
      <u/>
      <sz val="8"/>
      <color indexed="8"/>
      <name val="Tahoma"/>
      <family val="2"/>
    </font>
    <font>
      <b/>
      <sz val="15"/>
      <color indexed="56"/>
      <name val="Calibri"/>
      <family val="2"/>
    </font>
    <font>
      <b/>
      <sz val="15"/>
      <color theme="3"/>
      <name val="Calibri"/>
      <family val="2"/>
    </font>
    <font>
      <b/>
      <sz val="13"/>
      <color indexed="56"/>
      <name val="Calibri"/>
      <family val="2"/>
    </font>
    <font>
      <b/>
      <sz val="13"/>
      <color theme="3"/>
      <name val="Calibri"/>
      <family val="2"/>
    </font>
    <font>
      <b/>
      <sz val="11"/>
      <color indexed="56"/>
      <name val="Calibri"/>
      <family val="2"/>
    </font>
    <font>
      <b/>
      <sz val="11"/>
      <color theme="3"/>
      <name val="Calibri"/>
      <family val="2"/>
    </font>
    <font>
      <u/>
      <sz val="10"/>
      <color indexed="12"/>
      <name val="Arial"/>
      <family val="2"/>
    </font>
    <font>
      <u/>
      <sz val="11"/>
      <color theme="10"/>
      <name val="Calibri"/>
      <family val="2"/>
    </font>
    <font>
      <sz val="11"/>
      <color indexed="62"/>
      <name val="Calibri"/>
      <family val="2"/>
    </font>
    <font>
      <sz val="11"/>
      <color rgb="FF3F3F76"/>
      <name val="Calibri"/>
      <family val="2"/>
    </font>
    <font>
      <sz val="18"/>
      <name val="Times New Roman"/>
      <family val="1"/>
    </font>
    <font>
      <b/>
      <i/>
      <sz val="12"/>
      <name val="Times New Roman"/>
      <family val="1"/>
    </font>
    <font>
      <b/>
      <sz val="14"/>
      <name val="Helv"/>
    </font>
    <font>
      <sz val="11"/>
      <color indexed="52"/>
      <name val="Calibri"/>
      <family val="2"/>
    </font>
    <font>
      <sz val="11"/>
      <color rgb="FFFA7D00"/>
      <name val="Calibri"/>
      <family val="2"/>
    </font>
    <font>
      <b/>
      <sz val="11"/>
      <name val="Helv"/>
      <family val="2"/>
    </font>
    <font>
      <sz val="11"/>
      <color indexed="60"/>
      <name val="Calibri"/>
      <family val="2"/>
    </font>
    <font>
      <sz val="11"/>
      <color rgb="FF9C6500"/>
      <name val="Calibri"/>
      <family val="2"/>
    </font>
    <font>
      <sz val="7"/>
      <name val="Small Fonts"/>
      <family val="2"/>
    </font>
    <font>
      <b/>
      <sz val="8"/>
      <color indexed="23"/>
      <name val="Verdana"/>
      <family val="2"/>
    </font>
    <font>
      <sz val="12"/>
      <name val="Helv"/>
      <family val="2"/>
    </font>
    <font>
      <sz val="12"/>
      <color theme="1"/>
      <name val="Calibri"/>
      <family val="2"/>
    </font>
    <font>
      <sz val="12"/>
      <color indexed="8"/>
      <name val="Calibri"/>
      <family val="2"/>
    </font>
    <font>
      <sz val="10"/>
      <name val="Helv"/>
      <family val="2"/>
    </font>
    <font>
      <sz val="12"/>
      <name val="Arial"/>
      <family val="2"/>
    </font>
    <font>
      <u/>
      <sz val="18"/>
      <name val="Times New Roman"/>
      <family val="1"/>
    </font>
    <font>
      <b/>
      <sz val="11"/>
      <color indexed="63"/>
      <name val="Calibri"/>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16"/>
      <color indexed="9"/>
      <name val="Tahoma"/>
      <family val="2"/>
    </font>
    <font>
      <b/>
      <sz val="10"/>
      <name val="MS Sans Serif"/>
      <family val="2"/>
    </font>
    <font>
      <sz val="10"/>
      <color indexed="9"/>
      <name val="Arial"/>
      <family val="2"/>
    </font>
    <font>
      <sz val="10"/>
      <name val="Helv"/>
      <charset val="204"/>
    </font>
    <font>
      <b/>
      <sz val="8"/>
      <color indexed="63"/>
      <name val="Verdana"/>
      <family val="2"/>
    </font>
    <font>
      <sz val="24"/>
      <color indexed="13"/>
      <name val="Helv"/>
    </font>
    <font>
      <b/>
      <sz val="18"/>
      <color indexed="56"/>
      <name val="Cambria"/>
      <family val="1"/>
    </font>
    <font>
      <b/>
      <sz val="18"/>
      <color theme="3"/>
      <name val="Cambria"/>
      <family val="1"/>
    </font>
    <font>
      <b/>
      <sz val="11"/>
      <color indexed="8"/>
      <name val="Calibri"/>
      <family val="2"/>
    </font>
    <font>
      <b/>
      <sz val="11"/>
      <color theme="1"/>
      <name val="Calibri"/>
      <family val="2"/>
    </font>
    <font>
      <sz val="11"/>
      <color indexed="10"/>
      <name val="Calibri"/>
      <family val="2"/>
    </font>
    <font>
      <sz val="11"/>
      <color rgb="FFFF0000"/>
      <name val="Calibri"/>
      <family val="2"/>
    </font>
    <font>
      <b/>
      <sz val="18"/>
      <color indexed="56"/>
      <name val="Tahoma"/>
      <family val="2"/>
      <charset val="222"/>
    </font>
    <font>
      <b/>
      <sz val="11"/>
      <color indexed="9"/>
      <name val="Tahoma"/>
      <family val="2"/>
      <charset val="222"/>
    </font>
    <font>
      <sz val="11"/>
      <color indexed="60"/>
      <name val="Tahoma"/>
      <family val="2"/>
      <charset val="222"/>
    </font>
    <font>
      <sz val="11"/>
      <color indexed="52"/>
      <name val="Tahoma"/>
      <family val="2"/>
      <charset val="222"/>
    </font>
    <font>
      <sz val="12"/>
      <name val="뼻뮝"/>
      <family val="1"/>
      <charset val="129"/>
    </font>
    <font>
      <sz val="12"/>
      <name val="바탕체"/>
      <family val="1"/>
      <charset val="129"/>
    </font>
    <font>
      <sz val="12"/>
      <name val="돋움체"/>
      <family val="3"/>
      <charset val="129"/>
    </font>
    <font>
      <sz val="11"/>
      <color indexed="62"/>
      <name val="Tahoma"/>
      <family val="2"/>
      <charset val="222"/>
    </font>
    <font>
      <b/>
      <sz val="11"/>
      <color indexed="63"/>
      <name val="Tahoma"/>
      <family val="2"/>
      <charset val="222"/>
    </font>
    <font>
      <sz val="11"/>
      <color indexed="20"/>
      <name val="Tahoma"/>
      <family val="2"/>
      <charset val="222"/>
    </font>
    <font>
      <sz val="11"/>
      <name val="明朝"/>
      <family val="1"/>
      <charset val="128"/>
    </font>
    <font>
      <sz val="11"/>
      <name val="ＭＳ 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b/>
      <sz val="11"/>
      <color indexed="8"/>
      <name val="Tahoma"/>
      <family val="2"/>
      <charset val="222"/>
    </font>
    <font>
      <b/>
      <sz val="12"/>
      <color rgb="FF000000"/>
      <name val="Garamond"/>
      <family val="1"/>
    </font>
    <font>
      <sz val="11"/>
      <name val="Times New Roman"/>
      <family val="1"/>
      <charset val="1"/>
    </font>
    <font>
      <sz val="10"/>
      <name val="Book Antiqua"/>
      <family val="1"/>
    </font>
    <font>
      <sz val="9"/>
      <name val="‚l‚r ‚o–¾’©"/>
      <family val="3"/>
      <charset val="128"/>
    </font>
    <font>
      <sz val="12"/>
      <name val="±¼¸²Ã¼"/>
      <family val="2"/>
      <charset val="129"/>
    </font>
    <font>
      <sz val="10"/>
      <name val="MS Serif"/>
      <family val="1"/>
    </font>
    <font>
      <sz val="10"/>
      <color indexed="16"/>
      <name val="MS Serif"/>
      <family val="1"/>
    </font>
    <font>
      <sz val="12"/>
      <name val=".VnArial"/>
      <family val="2"/>
    </font>
    <font>
      <sz val="10"/>
      <name val="Mangal"/>
      <family val="2"/>
    </font>
    <font>
      <sz val="8"/>
      <name val="Helv"/>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sz val="8"/>
      <name val="Century Schoolbook"/>
      <family val="1"/>
    </font>
    <font>
      <b/>
      <sz val="8"/>
      <color indexed="8"/>
      <name val="Helv"/>
      <family val="2"/>
    </font>
    <font>
      <sz val="12"/>
      <name val="SWISS"/>
      <family val="2"/>
    </font>
    <font>
      <sz val="10"/>
      <color indexed="19"/>
      <name val="Arial"/>
      <family val="2"/>
    </font>
    <font>
      <sz val="10"/>
      <name val="ＭＳ Ｐゴシック"/>
      <family val="3"/>
      <charset val="128"/>
    </font>
    <font>
      <sz val="10"/>
      <name val="ＨＧ丸ゴシックM"/>
      <family val="3"/>
      <charset val="128"/>
    </font>
    <font>
      <sz val="14"/>
      <name val="뼻뮝"/>
      <family val="3"/>
    </font>
    <font>
      <sz val="12"/>
      <name val="바탕체"/>
      <family val="3"/>
    </font>
    <font>
      <sz val="10"/>
      <name val="굴림체"/>
      <family val="3"/>
    </font>
    <font>
      <sz val="12"/>
      <name val="新細明體"/>
      <family val="1"/>
      <charset val="128"/>
    </font>
    <font>
      <sz val="12"/>
      <color indexed="8"/>
      <name val="Arial"/>
      <family val="2"/>
    </font>
    <font>
      <sz val="14"/>
      <name val="ＭＳ 明朝"/>
      <family val="1"/>
      <charset val="128"/>
    </font>
    <font>
      <sz val="10"/>
      <color rgb="FF000000"/>
      <name val="Times New Roman"/>
      <family val="1"/>
    </font>
    <font>
      <b/>
      <sz val="18"/>
      <color rgb="FF000000"/>
      <name val="Garamond"/>
      <family val="1"/>
    </font>
    <font>
      <sz val="18"/>
      <color rgb="FF000000"/>
      <name val="Garamond"/>
      <family val="1"/>
    </font>
    <font>
      <b/>
      <sz val="18"/>
      <name val="Garamond"/>
      <family val="1"/>
    </font>
    <font>
      <sz val="12"/>
      <color rgb="FFFF0000"/>
      <name val="Garamond"/>
      <family val="1"/>
    </font>
    <font>
      <i/>
      <sz val="12"/>
      <name val="Garamond"/>
      <family val="1"/>
    </font>
    <font>
      <sz val="10"/>
      <name val="Arial"/>
      <family val="2"/>
    </font>
    <font>
      <sz val="12"/>
      <color theme="1"/>
      <name val="Garamond"/>
      <family val="1"/>
    </font>
    <font>
      <b/>
      <sz val="12"/>
      <color theme="1"/>
      <name val="Garamond"/>
      <family val="1"/>
    </font>
    <font>
      <b/>
      <sz val="16"/>
      <name val="Garamond"/>
      <family val="1"/>
    </font>
    <font>
      <b/>
      <sz val="13"/>
      <name val="Garamond"/>
      <family val="1"/>
    </font>
  </fonts>
  <fills count="75">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7"/>
        <bgColor indexed="64"/>
      </patternFill>
    </fill>
    <fill>
      <patternFill patternType="solid">
        <fgColor rgb="FFFFC000"/>
        <bgColor indexed="64"/>
      </patternFill>
    </fill>
    <fill>
      <patternFill patternType="solid">
        <fgColor rgb="FFFFFF00"/>
        <bgColor indexed="64"/>
      </patternFill>
    </fill>
    <fill>
      <patternFill patternType="solid">
        <fgColor rgb="FF92D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7"/>
      </patternFill>
    </fill>
    <fill>
      <patternFill patternType="solid">
        <fgColor theme="7" tint="0.59999389629810485"/>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3"/>
      </patternFill>
    </fill>
    <fill>
      <patternFill patternType="solid">
        <fgColor indexed="43"/>
      </patternFill>
    </fill>
    <fill>
      <patternFill patternType="solid">
        <fgColor indexed="26"/>
      </patternFill>
    </fill>
    <fill>
      <patternFill patternType="mediumGray">
        <fgColor indexed="22"/>
      </patternFill>
    </fill>
    <fill>
      <patternFill patternType="solid">
        <fgColor indexed="10"/>
        <bgColor indexed="64"/>
      </patternFill>
    </fill>
    <fill>
      <patternFill patternType="solid">
        <fgColor indexed="12"/>
      </patternFill>
    </fill>
    <fill>
      <patternFill patternType="solid">
        <fgColor indexed="44"/>
        <bgColor indexed="64"/>
      </patternFill>
    </fill>
    <fill>
      <patternFill patternType="solid">
        <fgColor indexed="42"/>
        <bgColor indexed="64"/>
      </patternFill>
    </fill>
    <fill>
      <patternFill patternType="solid">
        <fgColor indexed="40"/>
        <bgColor indexed="64"/>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0"/>
      </patternFill>
    </fill>
    <fill>
      <patternFill patternType="solid">
        <fgColor indexed="41"/>
        <bgColor indexed="64"/>
      </patternFill>
    </fill>
    <fill>
      <patternFill patternType="solid">
        <fgColor indexed="15"/>
      </patternFill>
    </fill>
    <fill>
      <patternFill patternType="solid">
        <fgColor indexed="9"/>
      </patternFill>
    </fill>
    <fill>
      <patternFill patternType="solid">
        <fgColor theme="0" tint="-0.249977111117893"/>
        <bgColor indexed="64"/>
      </patternFill>
    </fill>
    <fill>
      <patternFill patternType="solid">
        <fgColor theme="0" tint="-0.14999847407452621"/>
        <bgColor indexed="64"/>
      </patternFill>
    </fill>
  </fills>
  <borders count="100">
    <border>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top style="medium">
        <color indexed="64"/>
      </top>
      <bottom style="medium">
        <color indexed="64"/>
      </bottom>
      <diagonal/>
    </border>
    <border>
      <left/>
      <right style="medium">
        <color indexed="64"/>
      </right>
      <top style="thin">
        <color indexed="64"/>
      </top>
      <bottom style="double">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8"/>
      </right>
      <top style="medium">
        <color indexed="8"/>
      </top>
      <bottom/>
      <diagonal/>
    </border>
    <border>
      <left/>
      <right style="medium">
        <color indexed="64"/>
      </right>
      <top style="medium">
        <color indexed="8"/>
      </top>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double">
        <color indexed="64"/>
      </top>
      <bottom style="double">
        <color indexed="64"/>
      </bottom>
      <diagonal/>
    </border>
    <border>
      <left/>
      <right/>
      <top/>
      <bottom style="thin">
        <color indexed="64"/>
      </bottom>
      <diagonal/>
    </border>
    <border>
      <left/>
      <right/>
      <top style="thin">
        <color indexed="64"/>
      </top>
      <bottom style="double">
        <color indexed="64"/>
      </bottom>
      <diagonal/>
    </border>
    <border>
      <left/>
      <right style="medium">
        <color indexed="64"/>
      </right>
      <top/>
      <bottom style="double">
        <color indexed="64"/>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style="double">
        <color indexed="64"/>
      </top>
      <bottom style="double">
        <color indexed="64"/>
      </bottom>
      <diagonal/>
    </border>
    <border>
      <left style="thin">
        <color indexed="64"/>
      </left>
      <right style="thin">
        <color indexed="55"/>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8"/>
      </left>
      <right style="thin">
        <color indexed="8"/>
      </right>
      <top style="double">
        <color indexed="8"/>
      </top>
      <bottom style="thin">
        <color indexed="8"/>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medium">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rgb="FF000000"/>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rgb="FF000000"/>
      </right>
      <top/>
      <bottom/>
      <diagonal/>
    </border>
    <border>
      <left style="thin">
        <color indexed="64"/>
      </left>
      <right style="thin">
        <color rgb="FF000000"/>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style="thin">
        <color rgb="FF000000"/>
      </right>
      <top style="thin">
        <color rgb="FF000000"/>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right style="thin">
        <color indexed="64"/>
      </right>
      <top style="thin">
        <color rgb="FF000000"/>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style="thin">
        <color indexed="64"/>
      </left>
      <right/>
      <top style="thin">
        <color rgb="FF000000"/>
      </top>
      <bottom style="thin">
        <color indexed="64"/>
      </bottom>
      <diagonal/>
    </border>
  </borders>
  <cellStyleXfs count="2617">
    <xf numFmtId="0" fontId="0" fillId="0" borderId="0"/>
    <xf numFmtId="43" fontId="2" fillId="0" borderId="0" applyFont="0" applyFill="0" applyBorder="0" applyAlignment="0" applyProtection="0"/>
    <xf numFmtId="0" fontId="38"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2" fillId="0" borderId="0"/>
    <xf numFmtId="0" fontId="53" fillId="0" borderId="0"/>
    <xf numFmtId="0" fontId="45" fillId="0" borderId="0"/>
    <xf numFmtId="0" fontId="45" fillId="0" borderId="0"/>
    <xf numFmtId="0" fontId="2" fillId="0" borderId="0" applyNumberFormat="0" applyFill="0" applyBorder="0" applyAlignment="0" applyProtection="0"/>
    <xf numFmtId="0" fontId="2" fillId="0" borderId="0" applyNumberFormat="0" applyFill="0" applyBorder="0" applyAlignment="0" applyProtection="0"/>
    <xf numFmtId="0" fontId="47" fillId="32" borderId="0" applyNumberFormat="0" applyBorder="0" applyAlignment="0" applyProtection="0"/>
    <xf numFmtId="0" fontId="54" fillId="32" borderId="0" applyNumberFormat="0" applyBorder="0" applyAlignment="0" applyProtection="0"/>
    <xf numFmtId="0" fontId="47" fillId="32" borderId="0" applyNumberFormat="0" applyBorder="0" applyAlignment="0" applyProtection="0"/>
    <xf numFmtId="0" fontId="47" fillId="32" borderId="0" applyNumberFormat="0" applyBorder="0" applyAlignment="0" applyProtection="0"/>
    <xf numFmtId="0" fontId="47" fillId="33" borderId="0" applyNumberFormat="0" applyBorder="0" applyAlignment="0" applyProtection="0"/>
    <xf numFmtId="0" fontId="54" fillId="33" borderId="0" applyNumberFormat="0" applyBorder="0" applyAlignment="0" applyProtection="0"/>
    <xf numFmtId="0" fontId="47" fillId="33" borderId="0" applyNumberFormat="0" applyBorder="0" applyAlignment="0" applyProtection="0"/>
    <xf numFmtId="0" fontId="47" fillId="33" borderId="0" applyNumberFormat="0" applyBorder="0" applyAlignment="0" applyProtection="0"/>
    <xf numFmtId="0" fontId="47" fillId="34" borderId="0" applyNumberFormat="0" applyBorder="0" applyAlignment="0" applyProtection="0"/>
    <xf numFmtId="0" fontId="54" fillId="34" borderId="0" applyNumberFormat="0" applyBorder="0" applyAlignment="0" applyProtection="0"/>
    <xf numFmtId="0" fontId="47" fillId="34" borderId="0" applyNumberFormat="0" applyBorder="0" applyAlignment="0" applyProtection="0"/>
    <xf numFmtId="0" fontId="47" fillId="34" borderId="0" applyNumberFormat="0" applyBorder="0" applyAlignment="0" applyProtection="0"/>
    <xf numFmtId="0" fontId="47" fillId="35" borderId="0" applyNumberFormat="0" applyBorder="0" applyAlignment="0" applyProtection="0"/>
    <xf numFmtId="0" fontId="54" fillId="35" borderId="0" applyNumberFormat="0" applyBorder="0" applyAlignment="0" applyProtection="0"/>
    <xf numFmtId="0" fontId="47" fillId="35" borderId="0" applyNumberFormat="0" applyBorder="0" applyAlignment="0" applyProtection="0"/>
    <xf numFmtId="0" fontId="47" fillId="35" borderId="0" applyNumberFormat="0" applyBorder="0" applyAlignment="0" applyProtection="0"/>
    <xf numFmtId="0" fontId="47" fillId="36" borderId="0" applyNumberFormat="0" applyBorder="0" applyAlignment="0" applyProtection="0"/>
    <xf numFmtId="0" fontId="54" fillId="25" borderId="0" applyNumberFormat="0" applyBorder="0" applyAlignment="0" applyProtection="0"/>
    <xf numFmtId="0" fontId="47" fillId="36" borderId="0" applyNumberFormat="0" applyBorder="0" applyAlignment="0" applyProtection="0"/>
    <xf numFmtId="0" fontId="47" fillId="36" borderId="0" applyNumberFormat="0" applyBorder="0" applyAlignment="0" applyProtection="0"/>
    <xf numFmtId="0" fontId="47" fillId="37" borderId="0" applyNumberFormat="0" applyBorder="0" applyAlignment="0" applyProtection="0"/>
    <xf numFmtId="0" fontId="54" fillId="29" borderId="0" applyNumberFormat="0" applyBorder="0" applyAlignment="0" applyProtection="0"/>
    <xf numFmtId="0" fontId="47" fillId="37" borderId="0" applyNumberFormat="0" applyBorder="0" applyAlignment="0" applyProtection="0"/>
    <xf numFmtId="0" fontId="47" fillId="37" borderId="0" applyNumberFormat="0" applyBorder="0" applyAlignment="0" applyProtection="0"/>
    <xf numFmtId="0" fontId="55" fillId="32" borderId="0" applyNumberFormat="0" applyBorder="0" applyAlignment="0" applyProtection="0"/>
    <xf numFmtId="0" fontId="55" fillId="33" borderId="0" applyNumberFormat="0" applyBorder="0" applyAlignment="0" applyProtection="0"/>
    <xf numFmtId="0" fontId="55" fillId="34" borderId="0" applyNumberFormat="0" applyBorder="0" applyAlignment="0" applyProtection="0"/>
    <xf numFmtId="0" fontId="55" fillId="35" borderId="0" applyNumberFormat="0" applyBorder="0" applyAlignment="0" applyProtection="0"/>
    <xf numFmtId="0" fontId="55" fillId="36" borderId="0" applyNumberFormat="0" applyBorder="0" applyAlignment="0" applyProtection="0"/>
    <xf numFmtId="0" fontId="55" fillId="37" borderId="0" applyNumberFormat="0" applyBorder="0" applyAlignment="0" applyProtection="0"/>
    <xf numFmtId="0" fontId="47" fillId="38" borderId="0" applyNumberFormat="0" applyBorder="0" applyAlignment="0" applyProtection="0"/>
    <xf numFmtId="0" fontId="54" fillId="16" borderId="0" applyNumberFormat="0" applyBorder="0" applyAlignment="0" applyProtection="0"/>
    <xf numFmtId="0" fontId="47" fillId="38" borderId="0" applyNumberFormat="0" applyBorder="0" applyAlignment="0" applyProtection="0"/>
    <xf numFmtId="0" fontId="47" fillId="38" borderId="0" applyNumberFormat="0" applyBorder="0" applyAlignment="0" applyProtection="0"/>
    <xf numFmtId="0" fontId="47" fillId="39" borderId="0" applyNumberFormat="0" applyBorder="0" applyAlignment="0" applyProtection="0"/>
    <xf numFmtId="0" fontId="54" fillId="19" borderId="0" applyNumberFormat="0" applyBorder="0" applyAlignment="0" applyProtection="0"/>
    <xf numFmtId="0" fontId="47" fillId="39" borderId="0" applyNumberFormat="0" applyBorder="0" applyAlignment="0" applyProtection="0"/>
    <xf numFmtId="0" fontId="47" fillId="39" borderId="0" applyNumberFormat="0" applyBorder="0" applyAlignment="0" applyProtection="0"/>
    <xf numFmtId="0" fontId="47" fillId="40" borderId="0" applyNumberFormat="0" applyBorder="0" applyAlignment="0" applyProtection="0"/>
    <xf numFmtId="0" fontId="54" fillId="40" borderId="0" applyNumberFormat="0" applyBorder="0" applyAlignment="0" applyProtection="0"/>
    <xf numFmtId="0" fontId="47" fillId="40" borderId="0" applyNumberFormat="0" applyBorder="0" applyAlignment="0" applyProtection="0"/>
    <xf numFmtId="0" fontId="47" fillId="40" borderId="0" applyNumberFormat="0" applyBorder="0" applyAlignment="0" applyProtection="0"/>
    <xf numFmtId="0" fontId="47" fillId="35" borderId="0" applyNumberFormat="0" applyBorder="0" applyAlignment="0" applyProtection="0"/>
    <xf numFmtId="0" fontId="54" fillId="23" borderId="0" applyNumberFormat="0" applyBorder="0" applyAlignment="0" applyProtection="0"/>
    <xf numFmtId="0" fontId="47" fillId="35" borderId="0" applyNumberFormat="0" applyBorder="0" applyAlignment="0" applyProtection="0"/>
    <xf numFmtId="0" fontId="47" fillId="35" borderId="0" applyNumberFormat="0" applyBorder="0" applyAlignment="0" applyProtection="0"/>
    <xf numFmtId="0" fontId="47" fillId="38" borderId="0" applyNumberFormat="0" applyBorder="0" applyAlignment="0" applyProtection="0"/>
    <xf numFmtId="0" fontId="54" fillId="26" borderId="0" applyNumberFormat="0" applyBorder="0" applyAlignment="0" applyProtection="0"/>
    <xf numFmtId="0" fontId="47" fillId="38" borderId="0" applyNumberFormat="0" applyBorder="0" applyAlignment="0" applyProtection="0"/>
    <xf numFmtId="0" fontId="47" fillId="38" borderId="0" applyNumberFormat="0" applyBorder="0" applyAlignment="0" applyProtection="0"/>
    <xf numFmtId="0" fontId="47" fillId="41" borderId="0" applyNumberFormat="0" applyBorder="0" applyAlignment="0" applyProtection="0"/>
    <xf numFmtId="0" fontId="54" fillId="30" borderId="0" applyNumberFormat="0" applyBorder="0" applyAlignment="0" applyProtection="0"/>
    <xf numFmtId="0" fontId="47" fillId="41" borderId="0" applyNumberFormat="0" applyBorder="0" applyAlignment="0" applyProtection="0"/>
    <xf numFmtId="0" fontId="47" fillId="41" borderId="0" applyNumberFormat="0" applyBorder="0" applyAlignment="0" applyProtection="0"/>
    <xf numFmtId="0" fontId="55" fillId="38" borderId="0" applyNumberFormat="0" applyBorder="0" applyAlignment="0" applyProtection="0"/>
    <xf numFmtId="0" fontId="55" fillId="39" borderId="0" applyNumberFormat="0" applyBorder="0" applyAlignment="0" applyProtection="0"/>
    <xf numFmtId="0" fontId="55" fillId="40" borderId="0" applyNumberFormat="0" applyBorder="0" applyAlignment="0" applyProtection="0"/>
    <xf numFmtId="0" fontId="55" fillId="35" borderId="0" applyNumberFormat="0" applyBorder="0" applyAlignment="0" applyProtection="0"/>
    <xf numFmtId="0" fontId="55" fillId="38" borderId="0" applyNumberFormat="0" applyBorder="0" applyAlignment="0" applyProtection="0"/>
    <xf numFmtId="0" fontId="55" fillId="41" borderId="0" applyNumberFormat="0" applyBorder="0" applyAlignment="0" applyProtection="0"/>
    <xf numFmtId="0" fontId="56" fillId="42" borderId="0" applyNumberFormat="0" applyBorder="0" applyAlignment="0" applyProtection="0"/>
    <xf numFmtId="0" fontId="57" fillId="17" borderId="0" applyNumberFormat="0" applyBorder="0" applyAlignment="0" applyProtection="0"/>
    <xf numFmtId="0" fontId="56" fillId="42" borderId="0" applyNumberFormat="0" applyBorder="0" applyAlignment="0" applyProtection="0"/>
    <xf numFmtId="0" fontId="56" fillId="42" borderId="0" applyNumberFormat="0" applyBorder="0" applyAlignment="0" applyProtection="0"/>
    <xf numFmtId="0" fontId="56" fillId="39" borderId="0" applyNumberFormat="0" applyBorder="0" applyAlignment="0" applyProtection="0"/>
    <xf numFmtId="0" fontId="57" fillId="20"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40" borderId="0" applyNumberFormat="0" applyBorder="0" applyAlignment="0" applyProtection="0"/>
    <xf numFmtId="0" fontId="57" fillId="40" borderId="0" applyNumberFormat="0" applyBorder="0" applyAlignment="0" applyProtection="0"/>
    <xf numFmtId="0" fontId="56" fillId="40" borderId="0" applyNumberFormat="0" applyBorder="0" applyAlignment="0" applyProtection="0"/>
    <xf numFmtId="0" fontId="56" fillId="40" borderId="0" applyNumberFormat="0" applyBorder="0" applyAlignment="0" applyProtection="0"/>
    <xf numFmtId="0" fontId="56" fillId="43" borderId="0" applyNumberFormat="0" applyBorder="0" applyAlignment="0" applyProtection="0"/>
    <xf numFmtId="0" fontId="57" fillId="43"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7" fillId="27"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5" borderId="0" applyNumberFormat="0" applyBorder="0" applyAlignment="0" applyProtection="0"/>
    <xf numFmtId="0" fontId="57" fillId="45" borderId="0" applyNumberFormat="0" applyBorder="0" applyAlignment="0" applyProtection="0"/>
    <xf numFmtId="0" fontId="56" fillId="45" borderId="0" applyNumberFormat="0" applyBorder="0" applyAlignment="0" applyProtection="0"/>
    <xf numFmtId="0" fontId="56" fillId="45" borderId="0" applyNumberFormat="0" applyBorder="0" applyAlignment="0" applyProtection="0"/>
    <xf numFmtId="0" fontId="58" fillId="42" borderId="0" applyNumberFormat="0" applyBorder="0" applyAlignment="0" applyProtection="0"/>
    <xf numFmtId="0" fontId="58" fillId="39" borderId="0" applyNumberFormat="0" applyBorder="0" applyAlignment="0" applyProtection="0"/>
    <xf numFmtId="0" fontId="58" fillId="40" borderId="0" applyNumberFormat="0" applyBorder="0" applyAlignment="0" applyProtection="0"/>
    <xf numFmtId="0" fontId="58" fillId="43" borderId="0" applyNumberFormat="0" applyBorder="0" applyAlignment="0" applyProtection="0"/>
    <xf numFmtId="0" fontId="58" fillId="44" borderId="0" applyNumberFormat="0" applyBorder="0" applyAlignment="0" applyProtection="0"/>
    <xf numFmtId="0" fontId="58" fillId="45" borderId="0" applyNumberFormat="0" applyBorder="0" applyAlignment="0" applyProtection="0"/>
    <xf numFmtId="0" fontId="56" fillId="46" borderId="0" applyNumberFormat="0" applyBorder="0" applyAlignment="0" applyProtection="0"/>
    <xf numFmtId="0" fontId="57" fillId="15" borderId="0" applyNumberFormat="0" applyBorder="0" applyAlignment="0" applyProtection="0"/>
    <xf numFmtId="0" fontId="56" fillId="46" borderId="0" applyNumberFormat="0" applyBorder="0" applyAlignment="0" applyProtection="0"/>
    <xf numFmtId="0" fontId="56" fillId="46" borderId="0" applyNumberFormat="0" applyBorder="0" applyAlignment="0" applyProtection="0"/>
    <xf numFmtId="0" fontId="56" fillId="47" borderId="0" applyNumberFormat="0" applyBorder="0" applyAlignment="0" applyProtection="0"/>
    <xf numFmtId="0" fontId="57" fillId="18" borderId="0" applyNumberFormat="0" applyBorder="0" applyAlignment="0" applyProtection="0"/>
    <xf numFmtId="0" fontId="56" fillId="47" borderId="0" applyNumberFormat="0" applyBorder="0" applyAlignment="0" applyProtection="0"/>
    <xf numFmtId="0" fontId="56" fillId="47" borderId="0" applyNumberFormat="0" applyBorder="0" applyAlignment="0" applyProtection="0"/>
    <xf numFmtId="0" fontId="56" fillId="48" borderId="0" applyNumberFormat="0" applyBorder="0" applyAlignment="0" applyProtection="0"/>
    <xf numFmtId="0" fontId="57" fillId="21"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3" borderId="0" applyNumberFormat="0" applyBorder="0" applyAlignment="0" applyProtection="0"/>
    <xf numFmtId="0" fontId="57" fillId="22"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7" fillId="2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9" borderId="0" applyNumberFormat="0" applyBorder="0" applyAlignment="0" applyProtection="0"/>
    <xf numFmtId="0" fontId="57" fillId="28" borderId="0" applyNumberFormat="0" applyBorder="0" applyAlignment="0" applyProtection="0"/>
    <xf numFmtId="0" fontId="56" fillId="49" borderId="0" applyNumberFormat="0" applyBorder="0" applyAlignment="0" applyProtection="0"/>
    <xf numFmtId="0" fontId="56" fillId="49" borderId="0" applyNumberFormat="0" applyBorder="0" applyAlignment="0" applyProtection="0"/>
    <xf numFmtId="37" fontId="39" fillId="2" borderId="32" applyBorder="0" applyProtection="0">
      <alignment vertical="center"/>
    </xf>
    <xf numFmtId="0" fontId="59" fillId="33" borderId="0" applyNumberFormat="0" applyBorder="0" applyAlignment="0" applyProtection="0"/>
    <xf numFmtId="0" fontId="60" fillId="9" borderId="0" applyNumberFormat="0" applyBorder="0" applyAlignment="0" applyProtection="0"/>
    <xf numFmtId="0" fontId="59" fillId="33" borderId="0" applyNumberFormat="0" applyBorder="0" applyAlignment="0" applyProtection="0"/>
    <xf numFmtId="0" fontId="59" fillId="33" borderId="0" applyNumberFormat="0" applyBorder="0" applyAlignment="0" applyProtection="0"/>
    <xf numFmtId="0" fontId="61" fillId="0" borderId="0" applyNumberFormat="0" applyFill="0" applyBorder="0" applyAlignment="0" applyProtection="0"/>
    <xf numFmtId="0" fontId="5" fillId="50" borderId="0" applyBorder="0">
      <alignment horizontal="left" vertical="center" indent="1"/>
    </xf>
    <xf numFmtId="0" fontId="62" fillId="0" borderId="0"/>
    <xf numFmtId="0" fontId="2" fillId="0" borderId="0" applyFill="0" applyBorder="0" applyAlignment="0"/>
    <xf numFmtId="178" fontId="27" fillId="0" borderId="0" applyFill="0" applyBorder="0" applyAlignment="0"/>
    <xf numFmtId="179" fontId="27" fillId="0" borderId="0" applyFill="0" applyBorder="0" applyAlignment="0"/>
    <xf numFmtId="0" fontId="2" fillId="0" borderId="0" applyFill="0" applyBorder="0" applyAlignment="0"/>
    <xf numFmtId="180" fontId="2" fillId="0" borderId="0" applyFill="0" applyBorder="0" applyAlignment="0"/>
    <xf numFmtId="0" fontId="2" fillId="0" borderId="0" applyFill="0" applyBorder="0" applyAlignment="0"/>
    <xf numFmtId="181" fontId="2" fillId="0" borderId="0" applyFill="0" applyBorder="0" applyAlignment="0"/>
    <xf numFmtId="178" fontId="27" fillId="0" borderId="0" applyFill="0" applyBorder="0" applyAlignment="0"/>
    <xf numFmtId="0" fontId="63" fillId="51" borderId="55" applyNumberFormat="0" applyAlignment="0" applyProtection="0"/>
    <xf numFmtId="0" fontId="64" fillId="12" borderId="45" applyNumberFormat="0" applyAlignment="0" applyProtection="0"/>
    <xf numFmtId="0" fontId="63" fillId="51" borderId="55" applyNumberFormat="0" applyAlignment="0" applyProtection="0"/>
    <xf numFmtId="0" fontId="63" fillId="51" borderId="55" applyNumberFormat="0" applyAlignment="0" applyProtection="0"/>
    <xf numFmtId="3" fontId="65" fillId="0" borderId="41"/>
    <xf numFmtId="0" fontId="66" fillId="0" borderId="0"/>
    <xf numFmtId="0" fontId="67" fillId="52" borderId="56" applyNumberFormat="0" applyAlignment="0" applyProtection="0"/>
    <xf numFmtId="0" fontId="68" fillId="13" borderId="48" applyNumberFormat="0" applyAlignment="0" applyProtection="0"/>
    <xf numFmtId="0" fontId="67" fillId="52" borderId="56" applyNumberFormat="0" applyAlignment="0" applyProtection="0"/>
    <xf numFmtId="0" fontId="67" fillId="52" borderId="56" applyNumberFormat="0" applyAlignment="0" applyProtection="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38" fontId="70" fillId="0" borderId="0" applyFont="0" applyFill="0" applyBorder="0" applyAlignment="0" applyProtection="0"/>
    <xf numFmtId="38" fontId="70"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0"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2"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43"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43" fontId="2" fillId="0" borderId="0" applyFont="0" applyFill="0" applyBorder="0" applyAlignment="0" applyProtection="0"/>
    <xf numFmtId="43" fontId="47" fillId="0" borderId="0" applyFont="0" applyFill="0" applyBorder="0" applyAlignment="0" applyProtection="0"/>
    <xf numFmtId="0" fontId="47" fillId="0" borderId="0" applyFont="0" applyFill="0" applyBorder="0" applyAlignment="0" applyProtection="0"/>
    <xf numFmtId="43"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2"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0" fontId="71" fillId="0" borderId="0" applyNumberFormat="0" applyFill="0" applyBorder="0" applyAlignment="0" applyProtection="0">
      <alignment vertical="top"/>
      <protection locked="0"/>
    </xf>
    <xf numFmtId="43" fontId="2"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0"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47" fillId="0" borderId="0" applyFont="0" applyFill="0" applyBorder="0" applyAlignment="0" applyProtection="0"/>
    <xf numFmtId="43" fontId="2" fillId="0" borderId="0" applyFont="0" applyFill="0" applyBorder="0" applyAlignment="0" applyProtection="0"/>
    <xf numFmtId="182" fontId="2" fillId="0" borderId="0" applyFill="0" applyBorder="0" applyAlignment="0" applyProtection="0"/>
    <xf numFmtId="182" fontId="2" fillId="0" borderId="0" applyFill="0" applyBorder="0" applyAlignment="0" applyProtection="0"/>
    <xf numFmtId="182" fontId="2" fillId="0" borderId="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3" fontId="72" fillId="0" borderId="0" applyFont="0" applyFill="0" applyBorder="0" applyAlignment="0" applyProtection="0"/>
    <xf numFmtId="0" fontId="49" fillId="0" borderId="0" applyFill="0" applyBorder="0" applyAlignment="0" applyProtection="0">
      <protection locked="0"/>
    </xf>
    <xf numFmtId="178" fontId="27" fillId="0" borderId="0" applyFont="0" applyFill="0" applyBorder="0" applyAlignment="0" applyProtection="0"/>
    <xf numFmtId="183" fontId="2" fillId="0" borderId="0" applyFont="0" applyFill="0" applyBorder="0" applyAlignment="0" applyProtection="0"/>
    <xf numFmtId="0" fontId="69" fillId="0" borderId="0"/>
    <xf numFmtId="0" fontId="69" fillId="0" borderId="57"/>
    <xf numFmtId="14" fontId="2" fillId="0" borderId="27" applyFill="0">
      <alignment horizontal="center" vertical="center"/>
    </xf>
    <xf numFmtId="14" fontId="73" fillId="0" borderId="0" applyFill="0" applyBorder="0" applyAlignment="0"/>
    <xf numFmtId="38" fontId="74" fillId="0" borderId="58">
      <alignment vertical="center"/>
    </xf>
    <xf numFmtId="41" fontId="2" fillId="0" borderId="0" applyFont="0" applyFill="0" applyBorder="0" applyAlignment="0" applyProtection="0"/>
    <xf numFmtId="0" fontId="2" fillId="0" borderId="0" applyFill="0" applyBorder="0" applyAlignment="0"/>
    <xf numFmtId="178" fontId="27" fillId="0" borderId="0" applyFill="0" applyBorder="0" applyAlignment="0"/>
    <xf numFmtId="0" fontId="2" fillId="0" borderId="0" applyFill="0" applyBorder="0" applyAlignment="0"/>
    <xf numFmtId="181" fontId="2" fillId="0" borderId="0" applyFill="0" applyBorder="0" applyAlignment="0"/>
    <xf numFmtId="178" fontId="27" fillId="0" borderId="0" applyFill="0" applyBorder="0" applyAlignment="0"/>
    <xf numFmtId="0" fontId="2" fillId="0" borderId="0" applyFon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7" fillId="34" borderId="0" applyNumberFormat="0" applyBorder="0" applyAlignment="0" applyProtection="0"/>
    <xf numFmtId="0" fontId="78" fillId="8" borderId="0" applyNumberFormat="0" applyBorder="0" applyAlignment="0" applyProtection="0"/>
    <xf numFmtId="0" fontId="77" fillId="34" borderId="0" applyNumberFormat="0" applyBorder="0" applyAlignment="0" applyProtection="0"/>
    <xf numFmtId="0" fontId="77" fillId="34" borderId="0" applyNumberFormat="0" applyBorder="0" applyAlignment="0" applyProtection="0"/>
    <xf numFmtId="38" fontId="3" fillId="53" borderId="0" applyNumberFormat="0" applyBorder="0" applyAlignment="0" applyProtection="0"/>
    <xf numFmtId="0" fontId="79" fillId="0" borderId="0">
      <alignment horizontal="left"/>
    </xf>
    <xf numFmtId="37" fontId="80" fillId="53" borderId="16" applyFill="0">
      <alignment vertical="center"/>
    </xf>
    <xf numFmtId="0" fontId="65" fillId="0" borderId="16" applyNumberFormat="0" applyAlignment="0" applyProtection="0">
      <alignment horizontal="left" vertical="center"/>
    </xf>
    <xf numFmtId="0" fontId="65" fillId="0" borderId="41">
      <alignment horizontal="left" vertical="center"/>
    </xf>
    <xf numFmtId="0" fontId="80" fillId="0" borderId="5" applyNumberFormat="0" applyFill="0">
      <alignment horizontal="centerContinuous" vertical="top"/>
    </xf>
    <xf numFmtId="0" fontId="81" fillId="2" borderId="59" applyNumberFormat="0" applyBorder="0">
      <alignment horizontal="left" vertical="center" indent="1"/>
    </xf>
    <xf numFmtId="14" fontId="30" fillId="54" borderId="5">
      <alignment horizontal="center" vertical="center" wrapText="1"/>
    </xf>
    <xf numFmtId="0" fontId="82" fillId="0" borderId="60" applyNumberFormat="0" applyFill="0" applyAlignment="0" applyProtection="0"/>
    <xf numFmtId="0" fontId="83" fillId="0" borderId="42" applyNumberFormat="0" applyFill="0" applyAlignment="0" applyProtection="0"/>
    <xf numFmtId="0" fontId="82" fillId="0" borderId="60" applyNumberFormat="0" applyFill="0" applyAlignment="0" applyProtection="0"/>
    <xf numFmtId="0" fontId="82" fillId="0" borderId="60" applyNumberFormat="0" applyFill="0" applyAlignment="0" applyProtection="0"/>
    <xf numFmtId="0" fontId="84" fillId="0" borderId="61" applyNumberFormat="0" applyFill="0" applyAlignment="0" applyProtection="0"/>
    <xf numFmtId="0" fontId="85" fillId="0" borderId="43" applyNumberFormat="0" applyFill="0" applyAlignment="0" applyProtection="0"/>
    <xf numFmtId="0" fontId="84" fillId="0" borderId="61" applyNumberFormat="0" applyFill="0" applyAlignment="0" applyProtection="0"/>
    <xf numFmtId="0" fontId="84" fillId="0" borderId="61" applyNumberFormat="0" applyFill="0" applyAlignment="0" applyProtection="0"/>
    <xf numFmtId="0" fontId="86" fillId="0" borderId="62" applyNumberFormat="0" applyFill="0" applyAlignment="0" applyProtection="0"/>
    <xf numFmtId="0" fontId="87" fillId="0" borderId="44" applyNumberFormat="0" applyFill="0" applyAlignment="0" applyProtection="0"/>
    <xf numFmtId="0" fontId="86" fillId="0" borderId="62" applyNumberFormat="0" applyFill="0" applyAlignment="0" applyProtection="0"/>
    <xf numFmtId="0" fontId="86" fillId="0" borderId="62" applyNumberFormat="0" applyFill="0" applyAlignment="0" applyProtection="0"/>
    <xf numFmtId="0" fontId="86" fillId="0" borderId="0" applyNumberFormat="0" applyFill="0" applyBorder="0" applyAlignment="0" applyProtection="0"/>
    <xf numFmtId="0" fontId="87" fillId="0" borderId="0" applyNumberFormat="0" applyFill="0" applyBorder="0" applyAlignment="0" applyProtection="0"/>
    <xf numFmtId="0" fontId="86" fillId="0" borderId="0" applyNumberFormat="0" applyFill="0" applyBorder="0" applyAlignment="0" applyProtection="0"/>
    <xf numFmtId="0" fontId="86" fillId="0" borderId="0" applyNumberFormat="0" applyFill="0" applyBorder="0" applyAlignment="0" applyProtection="0"/>
    <xf numFmtId="0" fontId="50" fillId="0" borderId="0" applyFill="0" applyAlignment="0" applyProtection="0">
      <protection locked="0"/>
    </xf>
    <xf numFmtId="0" fontId="50" fillId="0" borderId="27" applyFill="0" applyAlignment="0" applyProtection="0">
      <protection locked="0"/>
    </xf>
    <xf numFmtId="0" fontId="88"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10" fontId="3" fillId="55" borderId="31" applyNumberFormat="0" applyBorder="0" applyAlignment="0" applyProtection="0"/>
    <xf numFmtId="0" fontId="90" fillId="37" borderId="55" applyNumberFormat="0" applyAlignment="0" applyProtection="0"/>
    <xf numFmtId="0" fontId="91" fillId="11" borderId="45" applyNumberFormat="0" applyAlignment="0" applyProtection="0"/>
    <xf numFmtId="0" fontId="90" fillId="37" borderId="55" applyNumberFormat="0" applyAlignment="0" applyProtection="0"/>
    <xf numFmtId="0" fontId="90" fillId="37" borderId="55" applyNumberFormat="0" applyAlignment="0" applyProtection="0"/>
    <xf numFmtId="38" fontId="92" fillId="0" borderId="0"/>
    <xf numFmtId="38" fontId="52" fillId="0" borderId="0"/>
    <xf numFmtId="38" fontId="93" fillId="0" borderId="0"/>
    <xf numFmtId="38" fontId="51" fillId="0" borderId="0"/>
    <xf numFmtId="0" fontId="45" fillId="0" borderId="0"/>
    <xf numFmtId="0" fontId="45" fillId="0" borderId="0"/>
    <xf numFmtId="0" fontId="94" fillId="56" borderId="57"/>
    <xf numFmtId="0" fontId="2" fillId="0" borderId="0" applyFill="0" applyBorder="0" applyAlignment="0"/>
    <xf numFmtId="178" fontId="27" fillId="0" borderId="0" applyFill="0" applyBorder="0" applyAlignment="0"/>
    <xf numFmtId="0" fontId="2" fillId="0" borderId="0" applyFill="0" applyBorder="0" applyAlignment="0"/>
    <xf numFmtId="181" fontId="2" fillId="0" borderId="0" applyFill="0" applyBorder="0" applyAlignment="0"/>
    <xf numFmtId="178" fontId="27" fillId="0" borderId="0" applyFill="0" applyBorder="0" applyAlignment="0"/>
    <xf numFmtId="0" fontId="95" fillId="0" borderId="63" applyNumberFormat="0" applyFill="0" applyAlignment="0" applyProtection="0"/>
    <xf numFmtId="0" fontId="96" fillId="0" borderId="47" applyNumberFormat="0" applyFill="0" applyAlignment="0" applyProtection="0"/>
    <xf numFmtId="0" fontId="95" fillId="0" borderId="63" applyNumberFormat="0" applyFill="0" applyAlignment="0" applyProtection="0"/>
    <xf numFmtId="0" fontId="95" fillId="0" borderId="63" applyNumberFormat="0" applyFill="0" applyAlignment="0" applyProtection="0"/>
    <xf numFmtId="0" fontId="49" fillId="0" borderId="0">
      <alignment horizontal="left" vertical="top"/>
    </xf>
    <xf numFmtId="0" fontId="97" fillId="0" borderId="5"/>
    <xf numFmtId="0" fontId="98" fillId="57" borderId="0" applyNumberFormat="0" applyBorder="0" applyAlignment="0" applyProtection="0"/>
    <xf numFmtId="0" fontId="99" fillId="10" borderId="0" applyNumberFormat="0" applyBorder="0" applyAlignment="0" applyProtection="0"/>
    <xf numFmtId="0" fontId="98" fillId="57" borderId="0" applyNumberFormat="0" applyBorder="0" applyAlignment="0" applyProtection="0"/>
    <xf numFmtId="0" fontId="98" fillId="57" borderId="0" applyNumberFormat="0" applyBorder="0" applyAlignment="0" applyProtection="0"/>
    <xf numFmtId="37" fontId="100" fillId="0" borderId="0"/>
    <xf numFmtId="0" fontId="101" fillId="53" borderId="0">
      <alignment horizontal="left" indent="1"/>
    </xf>
    <xf numFmtId="185" fontId="2" fillId="0" borderId="0"/>
    <xf numFmtId="0" fontId="102" fillId="0" borderId="0"/>
    <xf numFmtId="0" fontId="102" fillId="0" borderId="0"/>
    <xf numFmtId="0" fontId="102" fillId="0" borderId="0"/>
    <xf numFmtId="0" fontId="102" fillId="0" borderId="0"/>
    <xf numFmtId="0" fontId="102" fillId="0" borderId="0"/>
    <xf numFmtId="0" fontId="102" fillId="0" borderId="0"/>
    <xf numFmtId="0" fontId="10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70"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0" fillId="0" borderId="0"/>
    <xf numFmtId="0" fontId="2" fillId="0" borderId="0"/>
    <xf numFmtId="0" fontId="70" fillId="0" borderId="0"/>
    <xf numFmtId="0" fontId="70" fillId="0" borderId="0"/>
    <xf numFmtId="0" fontId="2" fillId="0" borderId="0"/>
    <xf numFmtId="0" fontId="2"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1" fillId="0" borderId="0"/>
    <xf numFmtId="0" fontId="1" fillId="0" borderId="0"/>
    <xf numFmtId="0" fontId="1" fillId="0" borderId="0"/>
    <xf numFmtId="0" fontId="2" fillId="0" borderId="0"/>
    <xf numFmtId="0" fontId="103" fillId="0" borderId="0"/>
    <xf numFmtId="0" fontId="2" fillId="0" borderId="0"/>
    <xf numFmtId="0" fontId="104" fillId="0" borderId="0"/>
    <xf numFmtId="39" fontId="10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4" fillId="0" borderId="0"/>
    <xf numFmtId="0" fontId="1" fillId="0" borderId="0"/>
    <xf numFmtId="0" fontId="1" fillId="0" borderId="0"/>
    <xf numFmtId="0" fontId="2" fillId="0" borderId="0"/>
    <xf numFmtId="0" fontId="1" fillId="0" borderId="0"/>
    <xf numFmtId="0" fontId="47" fillId="0" borderId="0"/>
    <xf numFmtId="0" fontId="47"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1" fillId="0" borderId="0"/>
    <xf numFmtId="0" fontId="2" fillId="0" borderId="0"/>
    <xf numFmtId="0" fontId="70" fillId="0" borderId="0"/>
    <xf numFmtId="0" fontId="2" fillId="0" borderId="0"/>
    <xf numFmtId="0" fontId="2" fillId="0" borderId="0"/>
    <xf numFmtId="0" fontId="70" fillId="0" borderId="0"/>
    <xf numFmtId="0" fontId="2" fillId="0" borderId="0"/>
    <xf numFmtId="0" fontId="2" fillId="0" borderId="0"/>
    <xf numFmtId="0" fontId="7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2" fillId="0" borderId="0"/>
    <xf numFmtId="0" fontId="2" fillId="0" borderId="0"/>
    <xf numFmtId="0" fontId="1" fillId="0" borderId="0"/>
    <xf numFmtId="0" fontId="2" fillId="0" borderId="0"/>
    <xf numFmtId="0" fontId="2" fillId="0" borderId="0"/>
    <xf numFmtId="0" fontId="1" fillId="0" borderId="0"/>
    <xf numFmtId="0" fontId="2" fillId="0" borderId="0"/>
    <xf numFmtId="0" fontId="1" fillId="0" borderId="0"/>
    <xf numFmtId="0" fontId="2"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7" fillId="0" borderId="0" applyFont="0" applyFill="0" applyBorder="0" applyAlignment="0" applyProtection="0">
      <alignment horizontal="centerContinuous"/>
    </xf>
    <xf numFmtId="0" fontId="28" fillId="0" borderId="54" applyFont="0" applyFill="0" applyBorder="0" applyAlignment="0" applyProtection="0">
      <alignment horizontal="right"/>
    </xf>
    <xf numFmtId="0" fontId="92" fillId="0" borderId="0" applyFont="0" applyFill="0" applyBorder="0" applyAlignment="0" applyProtection="0">
      <alignment horizontal="centerContinuous"/>
    </xf>
    <xf numFmtId="0" fontId="92" fillId="0" borderId="0" applyFont="0" applyFill="0" applyBorder="0" applyAlignment="0" applyProtection="0">
      <alignment horizontal="centerContinuous"/>
    </xf>
    <xf numFmtId="0" fontId="48" fillId="0" borderId="0"/>
    <xf numFmtId="0" fontId="70" fillId="58" borderId="64" applyNumberFormat="0" applyFont="0" applyAlignment="0" applyProtection="0"/>
    <xf numFmtId="0" fontId="47" fillId="14" borderId="49" applyNumberFormat="0" applyFont="0" applyAlignment="0" applyProtection="0"/>
    <xf numFmtId="0" fontId="47" fillId="14" borderId="49"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108" fillId="51" borderId="65" applyNumberFormat="0" applyAlignment="0" applyProtection="0"/>
    <xf numFmtId="0" fontId="109" fillId="12" borderId="46" applyNumberFormat="0" applyAlignment="0" applyProtection="0"/>
    <xf numFmtId="0" fontId="108" fillId="51" borderId="65" applyNumberFormat="0" applyAlignment="0" applyProtection="0"/>
    <xf numFmtId="0" fontId="108" fillId="51" borderId="65" applyNumberFormat="0" applyAlignment="0" applyProtection="0"/>
    <xf numFmtId="40" fontId="110" fillId="2" borderId="0">
      <alignment horizontal="right"/>
    </xf>
    <xf numFmtId="0" fontId="111" fillId="2" borderId="0">
      <alignment horizontal="right"/>
    </xf>
    <xf numFmtId="0" fontId="112" fillId="2" borderId="54"/>
    <xf numFmtId="0" fontId="112" fillId="0" borderId="0" applyBorder="0">
      <alignment horizontal="centerContinuous"/>
    </xf>
    <xf numFmtId="0" fontId="113" fillId="0" borderId="0" applyBorder="0">
      <alignment horizontal="centerContinuous"/>
    </xf>
    <xf numFmtId="186" fontId="2" fillId="0" borderId="0" applyFont="0" applyFill="0" applyBorder="0" applyAlignment="0" applyProtection="0"/>
    <xf numFmtId="180" fontId="2" fillId="0" borderId="0" applyFont="0" applyFill="0" applyBorder="0" applyAlignment="0" applyProtection="0"/>
    <xf numFmtId="187" fontId="2" fillId="0" borderId="0" applyFont="0" applyFill="0" applyBorder="0" applyAlignment="0" applyProtection="0"/>
    <xf numFmtId="10"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7" fillId="0" borderId="0" applyFont="0" applyFill="0" applyBorder="0" applyAlignment="0" applyProtection="0"/>
    <xf numFmtId="9" fontId="47"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74" fillId="0" borderId="13" applyNumberFormat="0" applyBorder="0"/>
    <xf numFmtId="0" fontId="2" fillId="0" borderId="0" applyFill="0" applyBorder="0" applyAlignment="0"/>
    <xf numFmtId="178" fontId="27" fillId="0" borderId="0" applyFill="0" applyBorder="0" applyAlignment="0"/>
    <xf numFmtId="0" fontId="2" fillId="0" borderId="0" applyFill="0" applyBorder="0" applyAlignment="0"/>
    <xf numFmtId="181" fontId="2" fillId="0" borderId="0" applyFill="0" applyBorder="0" applyAlignment="0"/>
    <xf numFmtId="178" fontId="27" fillId="0" borderId="0" applyFill="0" applyBorder="0" applyAlignment="0"/>
    <xf numFmtId="0" fontId="114" fillId="50" borderId="0">
      <alignment horizontal="left" indent="1"/>
    </xf>
    <xf numFmtId="0" fontId="74" fillId="0" borderId="0" applyNumberFormat="0" applyFont="0" applyFill="0" applyBorder="0" applyAlignment="0" applyProtection="0">
      <alignment horizontal="left"/>
    </xf>
    <xf numFmtId="15" fontId="74" fillId="0" borderId="0" applyFont="0" applyFill="0" applyBorder="0" applyAlignment="0" applyProtection="0"/>
    <xf numFmtId="4" fontId="74" fillId="0" borderId="0" applyFont="0" applyFill="0" applyBorder="0" applyAlignment="0" applyProtection="0"/>
    <xf numFmtId="0" fontId="115" fillId="0" borderId="5">
      <alignment horizontal="center"/>
    </xf>
    <xf numFmtId="3" fontId="74" fillId="0" borderId="0" applyFont="0" applyFill="0" applyBorder="0" applyAlignment="0" applyProtection="0"/>
    <xf numFmtId="0" fontId="74" fillId="59" borderId="0" applyNumberFormat="0" applyFont="0" applyBorder="0" applyAlignment="0" applyProtection="0"/>
    <xf numFmtId="0" fontId="116" fillId="60" borderId="0">
      <alignment horizontal="left"/>
      <protection locked="0"/>
    </xf>
    <xf numFmtId="0" fontId="69" fillId="0" borderId="0"/>
    <xf numFmtId="0" fontId="2" fillId="0" borderId="0"/>
    <xf numFmtId="0" fontId="117" fillId="0" borderId="0"/>
    <xf numFmtId="0" fontId="97" fillId="0" borderId="0"/>
    <xf numFmtId="0" fontId="69" fillId="0" borderId="57"/>
    <xf numFmtId="0" fontId="118" fillId="50" borderId="0" applyBorder="0">
      <alignment horizontal="left" vertical="center" indent="1"/>
    </xf>
    <xf numFmtId="49" fontId="73" fillId="0" borderId="0" applyFill="0" applyBorder="0" applyAlignment="0"/>
    <xf numFmtId="188" fontId="2" fillId="0" borderId="0" applyFill="0" applyBorder="0" applyAlignment="0"/>
    <xf numFmtId="189" fontId="2" fillId="0" borderId="0" applyFill="0" applyBorder="0" applyAlignment="0"/>
    <xf numFmtId="0" fontId="62" fillId="0" borderId="0" applyFill="0" applyBorder="0" applyProtection="0">
      <alignment horizontal="left" vertical="top"/>
    </xf>
    <xf numFmtId="40" fontId="44" fillId="0" borderId="0"/>
    <xf numFmtId="0" fontId="119" fillId="61" borderId="0"/>
    <xf numFmtId="0" fontId="120" fillId="0" borderId="0" applyNumberFormat="0" applyFill="0" applyBorder="0" applyAlignment="0" applyProtection="0"/>
    <xf numFmtId="0" fontId="121" fillId="0" borderId="0" applyNumberFormat="0" applyFill="0" applyBorder="0" applyAlignment="0" applyProtection="0"/>
    <xf numFmtId="0" fontId="120" fillId="0" borderId="0" applyNumberFormat="0" applyFill="0" applyBorder="0" applyAlignment="0" applyProtection="0"/>
    <xf numFmtId="0" fontId="120" fillId="0" borderId="0" applyNumberFormat="0" applyFill="0" applyBorder="0" applyAlignment="0" applyProtection="0"/>
    <xf numFmtId="0" fontId="122" fillId="0" borderId="66" applyNumberFormat="0" applyFill="0" applyAlignment="0" applyProtection="0"/>
    <xf numFmtId="0" fontId="123" fillId="0" borderId="50"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94" fillId="0" borderId="67"/>
    <xf numFmtId="0" fontId="94" fillId="0" borderId="57"/>
    <xf numFmtId="42"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190" fontId="2" fillId="0" borderId="0" applyFont="0" applyFill="0" applyBorder="0" applyAlignment="0" applyProtection="0"/>
    <xf numFmtId="191" fontId="2" fillId="0" borderId="0" applyFont="0" applyFill="0" applyBorder="0" applyAlignment="0" applyProtection="0"/>
    <xf numFmtId="0" fontId="124" fillId="0" borderId="0" applyNumberFormat="0" applyFill="0" applyBorder="0" applyAlignment="0" applyProtection="0"/>
    <xf numFmtId="0" fontId="125" fillId="0" borderId="0" applyNumberFormat="0" applyFill="0" applyBorder="0" applyAlignment="0" applyProtection="0"/>
    <xf numFmtId="0" fontId="124" fillId="0" borderId="0" applyNumberFormat="0" applyFill="0" applyBorder="0" applyAlignment="0" applyProtection="0"/>
    <xf numFmtId="0" fontId="124" fillId="0" borderId="0" applyNumberFormat="0" applyFill="0" applyBorder="0" applyAlignment="0" applyProtection="0"/>
    <xf numFmtId="0" fontId="58" fillId="46" borderId="0" applyNumberFormat="0" applyBorder="0" applyAlignment="0" applyProtection="0"/>
    <xf numFmtId="0" fontId="58" fillId="47" borderId="0" applyNumberFormat="0" applyBorder="0" applyAlignment="0" applyProtection="0"/>
    <xf numFmtId="0" fontId="58" fillId="48" borderId="0" applyNumberFormat="0" applyBorder="0" applyAlignment="0" applyProtection="0"/>
    <xf numFmtId="0" fontId="58" fillId="43" borderId="0" applyNumberFormat="0" applyBorder="0" applyAlignment="0" applyProtection="0"/>
    <xf numFmtId="0" fontId="58" fillId="44" borderId="0" applyNumberFormat="0" applyBorder="0" applyAlignment="0" applyProtection="0"/>
    <xf numFmtId="0" fontId="58" fillId="49" borderId="0" applyNumberFormat="0" applyBorder="0" applyAlignment="0" applyProtection="0"/>
    <xf numFmtId="0" fontId="126" fillId="0" borderId="0" applyNumberFormat="0" applyFill="0" applyBorder="0" applyAlignment="0" applyProtection="0"/>
    <xf numFmtId="0" fontId="127" fillId="52" borderId="56" applyNumberFormat="0" applyAlignment="0" applyProtection="0"/>
    <xf numFmtId="0" fontId="128" fillId="57" borderId="0" applyNumberFormat="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70" fillId="0" borderId="0" applyFont="0" applyFill="0" applyBorder="0" applyAlignment="0" applyProtection="0"/>
    <xf numFmtId="0" fontId="2" fillId="58" borderId="64" applyNumberFormat="0" applyFont="0" applyAlignment="0" applyProtection="0"/>
    <xf numFmtId="0" fontId="129" fillId="0" borderId="63" applyNumberFormat="0" applyFill="0" applyAlignment="0" applyProtection="0"/>
    <xf numFmtId="0" fontId="130" fillId="0" borderId="0"/>
    <xf numFmtId="38" fontId="2" fillId="0" borderId="0" applyFont="0" applyFill="0" applyBorder="0" applyAlignment="0" applyProtection="0"/>
    <xf numFmtId="43" fontId="106" fillId="0" borderId="0" applyFont="0" applyFill="0" applyBorder="0" applyAlignment="0" applyProtection="0"/>
    <xf numFmtId="41" fontId="131" fillId="0" borderId="0" applyFont="0" applyFill="0" applyBorder="0" applyAlignment="0" applyProtection="0"/>
    <xf numFmtId="0" fontId="132" fillId="0" borderId="0" applyFont="0" applyFill="0" applyBorder="0" applyAlignment="0" applyProtection="0"/>
    <xf numFmtId="0" fontId="133" fillId="37" borderId="55" applyNumberFormat="0" applyAlignment="0" applyProtection="0"/>
    <xf numFmtId="0" fontId="134" fillId="51" borderId="65" applyNumberFormat="0" applyAlignment="0" applyProtection="0"/>
    <xf numFmtId="0" fontId="135" fillId="33" borderId="0" applyNumberFormat="0" applyBorder="0" applyAlignment="0" applyProtection="0"/>
    <xf numFmtId="40" fontId="136" fillId="0" borderId="0"/>
    <xf numFmtId="43"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38" fontId="70" fillId="0" borderId="0" applyFont="0" applyFill="0" applyBorder="0" applyAlignment="0" applyProtection="0"/>
    <xf numFmtId="41" fontId="2" fillId="0" borderId="0" applyFont="0" applyFill="0" applyBorder="0" applyAlignment="0" applyProtection="0"/>
    <xf numFmtId="0" fontId="70" fillId="0" borderId="0"/>
    <xf numFmtId="0" fontId="137" fillId="0" borderId="0"/>
    <xf numFmtId="0" fontId="138" fillId="34" borderId="0" applyNumberFormat="0" applyBorder="0" applyAlignment="0" applyProtection="0"/>
    <xf numFmtId="0" fontId="139" fillId="0" borderId="60" applyNumberFormat="0" applyFill="0" applyAlignment="0" applyProtection="0"/>
    <xf numFmtId="0" fontId="140" fillId="0" borderId="61" applyNumberFormat="0" applyFill="0" applyAlignment="0" applyProtection="0"/>
    <xf numFmtId="0" fontId="141" fillId="0" borderId="62" applyNumberFormat="0" applyFill="0" applyAlignment="0" applyProtection="0"/>
    <xf numFmtId="0" fontId="141" fillId="0" borderId="0" applyNumberFormat="0" applyFill="0" applyBorder="0" applyAlignment="0" applyProtection="0"/>
    <xf numFmtId="0" fontId="142" fillId="51" borderId="55" applyNumberFormat="0" applyAlignment="0" applyProtection="0"/>
    <xf numFmtId="0" fontId="143" fillId="0" borderId="0" applyNumberFormat="0" applyFill="0" applyBorder="0" applyAlignment="0" applyProtection="0"/>
    <xf numFmtId="0" fontId="144" fillId="0" borderId="0" applyNumberForma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0" fontId="145" fillId="0" borderId="66" applyNumberFormat="0" applyFill="0" applyAlignment="0" applyProtection="0"/>
    <xf numFmtId="0" fontId="2" fillId="0" borderId="0"/>
    <xf numFmtId="183" fontId="28"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2" fillId="0" borderId="0" applyFont="0" applyFill="0" applyBorder="0" applyAlignment="0" applyProtection="0"/>
    <xf numFmtId="0" fontId="147" fillId="0" borderId="0"/>
    <xf numFmtId="192" fontId="148" fillId="0" borderId="0" applyFont="0" applyFill="0" applyBorder="0" applyAlignment="0" applyProtection="0"/>
    <xf numFmtId="44"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2" fontId="2"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9" fontId="2" fillId="63" borderId="0"/>
    <xf numFmtId="0" fontId="46" fillId="0" borderId="0" applyNumberFormat="0" applyFill="0" applyBorder="0" applyAlignment="0" applyProtection="0"/>
    <xf numFmtId="0" fontId="149" fillId="0" borderId="0"/>
    <xf numFmtId="0" fontId="46" fillId="0" borderId="0"/>
    <xf numFmtId="173" fontId="2" fillId="0" borderId="0" applyFont="0" applyFill="0" applyBorder="0" applyAlignment="0" applyProtection="0"/>
    <xf numFmtId="37" fontId="39" fillId="2" borderId="32" applyBorder="0" applyProtection="0">
      <alignment vertical="center"/>
    </xf>
    <xf numFmtId="37" fontId="39" fillId="2" borderId="32" applyBorder="0" applyProtection="0">
      <alignment vertical="center"/>
    </xf>
    <xf numFmtId="37" fontId="39" fillId="2" borderId="32" applyBorder="0" applyProtection="0">
      <alignment vertical="center"/>
    </xf>
    <xf numFmtId="37" fontId="39" fillId="2" borderId="32" applyBorder="0" applyProtection="0">
      <alignment vertical="center"/>
    </xf>
    <xf numFmtId="166" fontId="2" fillId="0" borderId="0" applyFont="0" applyFill="0" applyBorder="0" applyAlignment="0" applyProtection="0"/>
    <xf numFmtId="193" fontId="2" fillId="0" borderId="0" applyFont="0" applyFill="0" applyBorder="0" applyAlignment="0" applyProtection="0"/>
    <xf numFmtId="0" fontId="150" fillId="0" borderId="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80" fontId="2" fillId="0" borderId="0" applyFill="0" applyBorder="0" applyAlignment="0"/>
    <xf numFmtId="180" fontId="2" fillId="0" borderId="0" applyFill="0" applyBorder="0" applyAlignment="0"/>
    <xf numFmtId="180" fontId="2" fillId="0" borderId="0" applyFill="0" applyBorder="0" applyAlignment="0"/>
    <xf numFmtId="180" fontId="2" fillId="0" borderId="0" applyFill="0" applyBorder="0" applyAlignment="0"/>
    <xf numFmtId="18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0" fontId="63" fillId="51" borderId="55" applyNumberFormat="0" applyAlignment="0" applyProtection="0"/>
    <xf numFmtId="3" fontId="65" fillId="0" borderId="41"/>
    <xf numFmtId="3" fontId="65" fillId="0" borderId="41"/>
    <xf numFmtId="3" fontId="65" fillId="0" borderId="41"/>
    <xf numFmtId="3" fontId="65" fillId="0" borderId="41"/>
    <xf numFmtId="0" fontId="30" fillId="0" borderId="31">
      <alignment horizontal="left" wrapText="1"/>
    </xf>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2" fontId="2" fillId="0" borderId="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2" fontId="2" fillId="0" borderId="0" applyFill="0" applyBorder="0" applyAlignment="0" applyProtection="0"/>
    <xf numFmtId="182" fontId="2" fillId="0" borderId="0" applyFill="0" applyBorder="0" applyAlignment="0" applyProtection="0"/>
    <xf numFmtId="182" fontId="2" fillId="0" borderId="0" applyFill="0" applyBorder="0" applyAlignment="0" applyProtection="0"/>
    <xf numFmtId="43" fontId="2" fillId="0" borderId="0" applyFont="0" applyFill="0" applyBorder="0" applyAlignment="0" applyProtection="0"/>
    <xf numFmtId="182" fontId="2" fillId="0" borderId="0" applyFill="0" applyBorder="0" applyAlignment="0" applyProtection="0"/>
    <xf numFmtId="182" fontId="2" fillId="0" borderId="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51" fillId="0" borderId="0" applyNumberFormat="0" applyAlignment="0">
      <alignment horizontal="left"/>
    </xf>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183" fontId="2" fillId="0" borderId="0" applyFont="0" applyFill="0" applyBorder="0" applyAlignment="0" applyProtection="0"/>
    <xf numFmtId="0" fontId="69" fillId="0" borderId="57"/>
    <xf numFmtId="0" fontId="69" fillId="0" borderId="57"/>
    <xf numFmtId="0" fontId="69" fillId="0" borderId="57"/>
    <xf numFmtId="0" fontId="69" fillId="0" borderId="57"/>
    <xf numFmtId="194" fontId="2" fillId="0" borderId="0">
      <protection locked="0"/>
    </xf>
    <xf numFmtId="14" fontId="45" fillId="0" borderId="53" applyNumberFormat="0" applyBorder="0" applyAlignment="0">
      <alignment horizontal="right"/>
    </xf>
    <xf numFmtId="4" fontId="105" fillId="0" borderId="0" applyFont="0" applyFill="0" applyBorder="0" applyAlignment="0" applyProtection="0"/>
    <xf numFmtId="0" fontId="61" fillId="0" borderId="0" applyNumberFormat="0" applyFill="0" applyBorder="0" applyAlignment="0" applyProtection="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0" fontId="152" fillId="0" borderId="0" applyNumberFormat="0" applyAlignment="0">
      <alignment horizontal="left"/>
    </xf>
    <xf numFmtId="2" fontId="2" fillId="0" borderId="0" applyFill="0" applyBorder="0" applyAlignment="0" applyProtection="0"/>
    <xf numFmtId="0" fontId="65" fillId="0" borderId="41">
      <alignment horizontal="left" vertical="center"/>
    </xf>
    <xf numFmtId="0" fontId="65" fillId="0" borderId="41">
      <alignment horizontal="left" vertical="center"/>
    </xf>
    <xf numFmtId="0" fontId="65" fillId="0" borderId="41">
      <alignment horizontal="left" vertical="center"/>
    </xf>
    <xf numFmtId="0" fontId="65" fillId="0" borderId="41">
      <alignment horizontal="left" vertical="center"/>
    </xf>
    <xf numFmtId="195" fontId="2" fillId="0" borderId="0">
      <protection locked="0"/>
    </xf>
    <xf numFmtId="195" fontId="2" fillId="0" borderId="0">
      <protection locked="0"/>
    </xf>
    <xf numFmtId="0" fontId="28" fillId="0" borderId="0" applyFill="0" applyBorder="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0" fontId="90" fillId="37" borderId="55" applyNumberFormat="0" applyAlignment="0" applyProtection="0"/>
    <xf numFmtId="170" fontId="46" fillId="0" borderId="53" applyFont="0" applyFill="0" applyBorder="0" applyAlignment="0" applyProtection="0">
      <alignment horizontal="center"/>
    </xf>
    <xf numFmtId="0" fontId="94" fillId="56" borderId="57"/>
    <xf numFmtId="0" fontId="94" fillId="56" borderId="57"/>
    <xf numFmtId="0" fontId="94" fillId="56" borderId="57"/>
    <xf numFmtId="0" fontId="94" fillId="56" borderId="57"/>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77" fontId="43" fillId="0" borderId="54">
      <alignment horizontal="right"/>
    </xf>
    <xf numFmtId="187" fontId="2" fillId="0" borderId="0" applyFont="0" applyFill="0" applyBorder="0" applyAlignment="0" applyProtection="0"/>
    <xf numFmtId="196" fontId="2" fillId="0" borderId="0" applyFont="0" applyFill="0" applyBorder="0" applyAlignment="0" applyProtection="0"/>
    <xf numFmtId="14" fontId="45" fillId="0" borderId="0"/>
    <xf numFmtId="197" fontId="45" fillId="0" borderId="0" applyFont="0" applyFill="0" applyBorder="0" applyAlignment="0" applyProtection="0"/>
    <xf numFmtId="198" fontId="45" fillId="0" borderId="0" applyFont="0" applyFill="0" applyBorder="0" applyAlignment="0" applyProtection="0"/>
    <xf numFmtId="199" fontId="2" fillId="0" borderId="0" applyFont="0" applyFill="0" applyBorder="0" applyAlignment="0" applyProtection="0"/>
    <xf numFmtId="200" fontId="2" fillId="0" borderId="0" applyFont="0" applyFill="0" applyBorder="0" applyAlignment="0" applyProtection="0"/>
    <xf numFmtId="0" fontId="2" fillId="0" borderId="0"/>
    <xf numFmtId="185" fontId="2" fillId="0" borderId="0"/>
    <xf numFmtId="185" fontId="2" fillId="0" borderId="0"/>
    <xf numFmtId="185" fontId="2" fillId="0" borderId="0"/>
    <xf numFmtId="185" fontId="2" fillId="0" borderId="0"/>
    <xf numFmtId="185"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0" fontId="70" fillId="58" borderId="64" applyNumberFormat="0" applyFont="0" applyAlignment="0" applyProtection="0"/>
    <xf numFmtId="43" fontId="153" fillId="0" borderId="0" applyFont="0" applyFill="0" applyBorder="0" applyAlignment="0" applyProtection="0"/>
    <xf numFmtId="41" fontId="153" fillId="0" borderId="0" applyFont="0" applyFill="0" applyBorder="0" applyAlignment="0" applyProtection="0"/>
    <xf numFmtId="165" fontId="2" fillId="0" borderId="0" applyFont="0" applyFill="0" applyBorder="0" applyAlignment="0" applyProtection="0"/>
    <xf numFmtId="164" fontId="2" fillId="0" borderId="0" applyFont="0" applyFill="0" applyBorder="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0" fontId="108" fillId="51" borderId="65" applyNumberFormat="0" applyAlignment="0" applyProtection="0"/>
    <xf numFmtId="1" fontId="30" fillId="0" borderId="31" applyFill="0" applyProtection="0">
      <alignment horizontal="center" vertical="top" wrapText="1"/>
    </xf>
    <xf numFmtId="165" fontId="70" fillId="0" borderId="0" applyFont="0" applyFill="0" applyBorder="0" applyAlignment="0" applyProtection="0"/>
    <xf numFmtId="201" fontId="70"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0"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87"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9" fontId="154" fillId="0" borderId="0" applyFill="0" applyBorder="0" applyAlignment="0" applyProtection="0"/>
    <xf numFmtId="9" fontId="2" fillId="0" borderId="0" applyFont="0" applyFill="0" applyBorder="0" applyAlignment="0" applyProtection="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0"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81" fontId="2" fillId="0" borderId="0" applyFill="0" applyBorder="0" applyAlignment="0"/>
    <xf numFmtId="1" fontId="2" fillId="0" borderId="53" applyNumberFormat="0" applyFill="0" applyAlignment="0" applyProtection="0">
      <alignment horizontal="center" vertical="center"/>
    </xf>
    <xf numFmtId="14" fontId="155" fillId="0" borderId="0" applyNumberFormat="0" applyFill="0" applyBorder="0" applyAlignment="0" applyProtection="0">
      <alignment horizontal="left"/>
    </xf>
    <xf numFmtId="4" fontId="156" fillId="57" borderId="68" applyNumberFormat="0" applyProtection="0">
      <alignment vertical="center"/>
    </xf>
    <xf numFmtId="4" fontId="157" fillId="3" borderId="68" applyNumberFormat="0" applyProtection="0">
      <alignment vertical="center"/>
    </xf>
    <xf numFmtId="4" fontId="156" fillId="3" borderId="68" applyNumberFormat="0" applyProtection="0">
      <alignment horizontal="left" vertical="center" indent="1"/>
    </xf>
    <xf numFmtId="0" fontId="156" fillId="3" borderId="68" applyNumberFormat="0" applyProtection="0">
      <alignment horizontal="left" vertical="top" indent="1"/>
    </xf>
    <xf numFmtId="4" fontId="156" fillId="64" borderId="0" applyNumberFormat="0" applyProtection="0">
      <alignment horizontal="left" vertical="center" indent="1"/>
    </xf>
    <xf numFmtId="4" fontId="73" fillId="33" borderId="68" applyNumberFormat="0" applyProtection="0">
      <alignment horizontal="right" vertical="center"/>
    </xf>
    <xf numFmtId="4" fontId="73" fillId="39" borderId="68" applyNumberFormat="0" applyProtection="0">
      <alignment horizontal="right" vertical="center"/>
    </xf>
    <xf numFmtId="4" fontId="73" fillId="47" borderId="68" applyNumberFormat="0" applyProtection="0">
      <alignment horizontal="right" vertical="center"/>
    </xf>
    <xf numFmtId="4" fontId="73" fillId="41" borderId="68" applyNumberFormat="0" applyProtection="0">
      <alignment horizontal="right" vertical="center"/>
    </xf>
    <xf numFmtId="4" fontId="73" fillId="45" borderId="68" applyNumberFormat="0" applyProtection="0">
      <alignment horizontal="right" vertical="center"/>
    </xf>
    <xf numFmtId="4" fontId="73" fillId="49" borderId="68" applyNumberFormat="0" applyProtection="0">
      <alignment horizontal="right" vertical="center"/>
    </xf>
    <xf numFmtId="4" fontId="73" fillId="48" borderId="68" applyNumberFormat="0" applyProtection="0">
      <alignment horizontal="right" vertical="center"/>
    </xf>
    <xf numFmtId="4" fontId="73" fillId="65" borderId="68" applyNumberFormat="0" applyProtection="0">
      <alignment horizontal="right" vertical="center"/>
    </xf>
    <xf numFmtId="4" fontId="73" fillId="40" borderId="68" applyNumberFormat="0" applyProtection="0">
      <alignment horizontal="right" vertical="center"/>
    </xf>
    <xf numFmtId="4" fontId="156" fillId="66" borderId="69" applyNumberFormat="0" applyProtection="0">
      <alignment horizontal="left" vertical="center" indent="1"/>
    </xf>
    <xf numFmtId="4" fontId="73" fillId="67" borderId="0" applyNumberFormat="0" applyProtection="0">
      <alignment horizontal="left" vertical="center" indent="1"/>
    </xf>
    <xf numFmtId="4" fontId="158" fillId="68" borderId="0" applyNumberFormat="0" applyProtection="0">
      <alignment horizontal="left" vertical="center" indent="1"/>
    </xf>
    <xf numFmtId="4" fontId="73" fillId="69" borderId="68" applyNumberFormat="0" applyProtection="0">
      <alignment horizontal="right" vertical="center"/>
    </xf>
    <xf numFmtId="4" fontId="73" fillId="67" borderId="0" applyNumberFormat="0" applyProtection="0">
      <alignment horizontal="left" vertical="center" indent="1"/>
    </xf>
    <xf numFmtId="4" fontId="73" fillId="64" borderId="0" applyNumberFormat="0" applyProtection="0">
      <alignment horizontal="left" vertical="center" indent="1"/>
    </xf>
    <xf numFmtId="0" fontId="2" fillId="68" borderId="68" applyNumberFormat="0" applyProtection="0">
      <alignment horizontal="left" vertical="center" indent="1"/>
    </xf>
    <xf numFmtId="0" fontId="2" fillId="68" borderId="68" applyNumberFormat="0" applyProtection="0">
      <alignment horizontal="left" vertical="top" indent="1"/>
    </xf>
    <xf numFmtId="0" fontId="2" fillId="64" borderId="68" applyNumberFormat="0" applyProtection="0">
      <alignment horizontal="left" vertical="center" indent="1"/>
    </xf>
    <xf numFmtId="0" fontId="2" fillId="64" borderId="68" applyNumberFormat="0" applyProtection="0">
      <alignment horizontal="left" vertical="top" indent="1"/>
    </xf>
    <xf numFmtId="0" fontId="2" fillId="62" borderId="68" applyNumberFormat="0" applyProtection="0">
      <alignment horizontal="left" vertical="center" indent="1"/>
    </xf>
    <xf numFmtId="0" fontId="2" fillId="62" borderId="68" applyNumberFormat="0" applyProtection="0">
      <alignment horizontal="left" vertical="top" indent="1"/>
    </xf>
    <xf numFmtId="0" fontId="2" fillId="70" borderId="68" applyNumberFormat="0" applyProtection="0">
      <alignment horizontal="left" vertical="center" indent="1"/>
    </xf>
    <xf numFmtId="0" fontId="2" fillId="70" borderId="68" applyNumberFormat="0" applyProtection="0">
      <alignment horizontal="left" vertical="top" indent="1"/>
    </xf>
    <xf numFmtId="4" fontId="73" fillId="55" borderId="68" applyNumberFormat="0" applyProtection="0">
      <alignment vertical="center"/>
    </xf>
    <xf numFmtId="4" fontId="159" fillId="55" borderId="68" applyNumberFormat="0" applyProtection="0">
      <alignment vertical="center"/>
    </xf>
    <xf numFmtId="4" fontId="73" fillId="55" borderId="68" applyNumberFormat="0" applyProtection="0">
      <alignment horizontal="left" vertical="center" indent="1"/>
    </xf>
    <xf numFmtId="0" fontId="73" fillId="55" borderId="68" applyNumberFormat="0" applyProtection="0">
      <alignment horizontal="left" vertical="top" indent="1"/>
    </xf>
    <xf numFmtId="4" fontId="73" fillId="67" borderId="68" applyNumberFormat="0" applyProtection="0">
      <alignment horizontal="right" vertical="center"/>
    </xf>
    <xf numFmtId="4" fontId="159" fillId="67" borderId="68" applyNumberFormat="0" applyProtection="0">
      <alignment horizontal="right" vertical="center"/>
    </xf>
    <xf numFmtId="4" fontId="73" fillId="69" borderId="68" applyNumberFormat="0" applyProtection="0">
      <alignment horizontal="left" vertical="center" indent="1"/>
    </xf>
    <xf numFmtId="0" fontId="73" fillId="64" borderId="68" applyNumberFormat="0" applyProtection="0">
      <alignment horizontal="left" vertical="top" indent="1"/>
    </xf>
    <xf numFmtId="4" fontId="160" fillId="71" borderId="0" applyNumberFormat="0" applyProtection="0">
      <alignment horizontal="left" vertical="center" indent="1"/>
    </xf>
    <xf numFmtId="4" fontId="161" fillId="67" borderId="68" applyNumberFormat="0" applyProtection="0">
      <alignment horizontal="right" vertical="center"/>
    </xf>
    <xf numFmtId="38" fontId="70" fillId="0" borderId="0" applyFont="0" applyFill="0" applyBorder="0" applyAlignment="0" applyProtection="0"/>
    <xf numFmtId="40" fontId="70" fillId="0" borderId="0" applyFont="0" applyFill="0" applyBorder="0" applyAlignment="0" applyProtection="0"/>
    <xf numFmtId="0" fontId="162" fillId="0" borderId="70" applyFill="0" applyAlignment="0" applyProtection="0"/>
    <xf numFmtId="0" fontId="2" fillId="0" borderId="27" applyBorder="0">
      <protection locked="0"/>
    </xf>
    <xf numFmtId="40" fontId="163" fillId="0" borderId="0" applyBorder="0">
      <alignment horizontal="right"/>
    </xf>
    <xf numFmtId="0" fontId="164" fillId="72" borderId="0"/>
    <xf numFmtId="0" fontId="69" fillId="0" borderId="57"/>
    <xf numFmtId="0" fontId="69" fillId="0" borderId="57"/>
    <xf numFmtId="0" fontId="69" fillId="0" borderId="57"/>
    <xf numFmtId="0" fontId="69" fillId="0" borderId="57"/>
    <xf numFmtId="188" fontId="2" fillId="0" borderId="0" applyFill="0" applyBorder="0" applyAlignment="0"/>
    <xf numFmtId="188" fontId="2" fillId="0" borderId="0" applyFill="0" applyBorder="0" applyAlignment="0"/>
    <xf numFmtId="188" fontId="2" fillId="0" borderId="0" applyFill="0" applyBorder="0" applyAlignment="0"/>
    <xf numFmtId="188" fontId="2" fillId="0" borderId="0" applyFill="0" applyBorder="0" applyAlignment="0"/>
    <xf numFmtId="188" fontId="2" fillId="0" borderId="0" applyFill="0" applyBorder="0" applyAlignment="0"/>
    <xf numFmtId="189" fontId="2" fillId="0" borderId="0" applyFill="0" applyBorder="0" applyAlignment="0"/>
    <xf numFmtId="189" fontId="2" fillId="0" borderId="0" applyFill="0" applyBorder="0" applyAlignment="0"/>
    <xf numFmtId="189" fontId="2" fillId="0" borderId="0" applyFill="0" applyBorder="0" applyAlignment="0"/>
    <xf numFmtId="189" fontId="2" fillId="0" borderId="0" applyFill="0" applyBorder="0" applyAlignment="0"/>
    <xf numFmtId="189" fontId="2" fillId="0" borderId="0" applyFill="0" applyBorder="0" applyAlignment="0"/>
    <xf numFmtId="1" fontId="30" fillId="0" borderId="39" applyNumberFormat="0" applyFill="0" applyProtection="0">
      <alignment horizontal="left" vertical="center"/>
    </xf>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122" fillId="0" borderId="66" applyNumberFormat="0" applyFill="0" applyAlignment="0" applyProtection="0"/>
    <xf numFmtId="0" fontId="94" fillId="0" borderId="57"/>
    <xf numFmtId="0" fontId="94" fillId="0" borderId="57"/>
    <xf numFmtId="0" fontId="94" fillId="0" borderId="57"/>
    <xf numFmtId="0" fontId="94" fillId="0" borderId="57"/>
    <xf numFmtId="41" fontId="2" fillId="0" borderId="0" applyFont="0" applyFill="0" applyBorder="0" applyAlignment="0" applyProtection="0"/>
    <xf numFmtId="43" fontId="2" fillId="0" borderId="0" applyFont="0" applyFill="0" applyBorder="0" applyAlignment="0" applyProtection="0"/>
    <xf numFmtId="1" fontId="165" fillId="0" borderId="53" applyNumberFormat="0" applyFill="0" applyAlignment="0" applyProtection="0">
      <alignment horizontal="left"/>
    </xf>
    <xf numFmtId="177" fontId="70" fillId="0" borderId="0" applyFont="0" applyFill="0" applyBorder="0" applyAlignment="0" applyProtection="0"/>
    <xf numFmtId="202" fontId="70" fillId="0" borderId="0" applyFont="0" applyFill="0" applyBorder="0" applyAlignment="0" applyProtection="0"/>
    <xf numFmtId="15" fontId="166" fillId="0" borderId="0" applyFont="0" applyFill="0" applyBorder="0" applyAlignment="0" applyProtection="0"/>
    <xf numFmtId="203" fontId="166" fillId="0" borderId="0" applyFont="0" applyFill="0" applyBorder="0" applyAlignment="0" applyProtection="0"/>
    <xf numFmtId="204" fontId="2" fillId="0" borderId="0" applyFont="0" applyFill="0" applyBorder="0" applyAlignment="0" applyProtection="0"/>
    <xf numFmtId="184" fontId="105" fillId="0" borderId="0" applyFont="0" applyFill="0" applyBorder="0" applyAlignment="0" applyProtection="0"/>
    <xf numFmtId="0" fontId="105" fillId="0" borderId="0"/>
    <xf numFmtId="0" fontId="2" fillId="58" borderId="64" applyNumberFormat="0" applyFont="0" applyAlignment="0" applyProtection="0"/>
    <xf numFmtId="0" fontId="2" fillId="58" borderId="64" applyNumberFormat="0" applyFont="0" applyAlignment="0" applyProtection="0"/>
    <xf numFmtId="0" fontId="2" fillId="58" borderId="64" applyNumberFormat="0" applyFont="0" applyAlignment="0" applyProtection="0"/>
    <xf numFmtId="0" fontId="2" fillId="58" borderId="64" applyNumberFormat="0" applyFont="0" applyAlignment="0" applyProtection="0"/>
    <xf numFmtId="164" fontId="2" fillId="0" borderId="0" applyFont="0" applyFill="0" applyBorder="0" applyAlignment="0" applyProtection="0"/>
    <xf numFmtId="4" fontId="105" fillId="0" borderId="0" applyFont="0" applyFill="0" applyBorder="0" applyAlignment="0" applyProtection="0"/>
    <xf numFmtId="38" fontId="167" fillId="0" borderId="0" applyFont="0" applyFill="0" applyBorder="0" applyAlignment="0" applyProtection="0"/>
    <xf numFmtId="40" fontId="167" fillId="0" borderId="0" applyFont="0" applyFill="0" applyBorder="0" applyAlignment="0" applyProtection="0"/>
    <xf numFmtId="205" fontId="167" fillId="0" borderId="0" applyFont="0" applyFill="0" applyBorder="0" applyAlignment="0" applyProtection="0"/>
    <xf numFmtId="206" fontId="167" fillId="0" borderId="0" applyFont="0" applyFill="0" applyBorder="0" applyAlignment="0" applyProtection="0"/>
    <xf numFmtId="0" fontId="167" fillId="0" borderId="0" applyFont="0"/>
    <xf numFmtId="40" fontId="168" fillId="0" borderId="0" applyFont="0" applyFill="0" applyBorder="0" applyAlignment="0" applyProtection="0"/>
    <xf numFmtId="38" fontId="168" fillId="0" borderId="0" applyFont="0" applyFill="0" applyBorder="0" applyAlignment="0" applyProtection="0"/>
    <xf numFmtId="0" fontId="168" fillId="0" borderId="0" applyFont="0" applyFill="0" applyBorder="0" applyAlignment="0" applyProtection="0"/>
    <xf numFmtId="0" fontId="168" fillId="0" borderId="0" applyFont="0" applyFill="0" applyBorder="0" applyAlignment="0" applyProtection="0"/>
    <xf numFmtId="9" fontId="169" fillId="0" borderId="0" applyFont="0" applyFill="0" applyBorder="0" applyAlignment="0" applyProtection="0"/>
    <xf numFmtId="207" fontId="2" fillId="0" borderId="0" applyFont="0" applyFill="0" applyBorder="0" applyAlignment="0" applyProtection="0"/>
    <xf numFmtId="208" fontId="2" fillId="0" borderId="0" applyFont="0" applyFill="0" applyBorder="0" applyAlignment="0" applyProtection="0"/>
    <xf numFmtId="0" fontId="170" fillId="0" borderId="0"/>
    <xf numFmtId="0" fontId="171" fillId="0" borderId="0"/>
    <xf numFmtId="0" fontId="133" fillId="37" borderId="55" applyNumberFormat="0" applyAlignment="0" applyProtection="0"/>
    <xf numFmtId="0" fontId="133" fillId="37" borderId="55" applyNumberFormat="0" applyAlignment="0" applyProtection="0"/>
    <xf numFmtId="0" fontId="133" fillId="37" borderId="55" applyNumberFormat="0" applyAlignment="0" applyProtection="0"/>
    <xf numFmtId="0" fontId="133" fillId="37" borderId="55" applyNumberFormat="0" applyAlignment="0" applyProtection="0"/>
    <xf numFmtId="0" fontId="134" fillId="51" borderId="65" applyNumberFormat="0" applyAlignment="0" applyProtection="0"/>
    <xf numFmtId="0" fontId="134" fillId="51" borderId="65" applyNumberFormat="0" applyAlignment="0" applyProtection="0"/>
    <xf numFmtId="0" fontId="134" fillId="51" borderId="65" applyNumberFormat="0" applyAlignment="0" applyProtection="0"/>
    <xf numFmtId="0" fontId="134" fillId="51" borderId="65" applyNumberFormat="0" applyAlignment="0" applyProtection="0"/>
    <xf numFmtId="43" fontId="2" fillId="0" borderId="0" applyFont="0" applyFill="0" applyBorder="0" applyAlignment="0" applyProtection="0"/>
    <xf numFmtId="209" fontId="166" fillId="0" borderId="0" applyFont="0" applyFill="0" applyBorder="0" applyAlignment="0" applyProtection="0"/>
    <xf numFmtId="210" fontId="166" fillId="0" borderId="0" applyFont="0" applyFill="0" applyBorder="0" applyAlignment="0" applyProtection="0"/>
    <xf numFmtId="0" fontId="172" fillId="0" borderId="0"/>
    <xf numFmtId="0" fontId="173" fillId="0" borderId="0"/>
    <xf numFmtId="0" fontId="142" fillId="51" borderId="55" applyNumberFormat="0" applyAlignment="0" applyProtection="0"/>
    <xf numFmtId="0" fontId="142" fillId="51" borderId="55" applyNumberFormat="0" applyAlignment="0" applyProtection="0"/>
    <xf numFmtId="0" fontId="142" fillId="51" borderId="55" applyNumberFormat="0" applyAlignment="0" applyProtection="0"/>
    <xf numFmtId="0" fontId="142" fillId="51" borderId="55" applyNumberFormat="0" applyAlignment="0" applyProtection="0"/>
    <xf numFmtId="211" fontId="2" fillId="0" borderId="0" applyFont="0" applyFill="0" applyBorder="0" applyAlignment="0" applyProtection="0"/>
    <xf numFmtId="212"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45" fillId="0" borderId="66" applyNumberFormat="0" applyFill="0" applyAlignment="0" applyProtection="0"/>
    <xf numFmtId="0" fontId="145" fillId="0" borderId="66" applyNumberFormat="0" applyFill="0" applyAlignment="0" applyProtection="0"/>
    <xf numFmtId="0" fontId="145" fillId="0" borderId="66" applyNumberFormat="0" applyFill="0" applyAlignment="0" applyProtection="0"/>
    <xf numFmtId="0" fontId="145" fillId="0" borderId="66" applyNumberFormat="0" applyFill="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0" fontId="2" fillId="0" borderId="0"/>
    <xf numFmtId="0" fontId="174" fillId="0" borderId="0"/>
    <xf numFmtId="0" fontId="38" fillId="0" borderId="0"/>
    <xf numFmtId="9" fontId="180" fillId="0" borderId="0" applyFont="0" applyFill="0" applyBorder="0" applyAlignment="0" applyProtection="0"/>
  </cellStyleXfs>
  <cellXfs count="1620">
    <xf numFmtId="0" fontId="0" fillId="0" borderId="0" xfId="0"/>
    <xf numFmtId="0" fontId="4" fillId="0" borderId="0" xfId="0" applyFont="1"/>
    <xf numFmtId="0" fontId="5" fillId="0" borderId="0" xfId="0" applyFont="1"/>
    <xf numFmtId="0" fontId="4" fillId="0" borderId="1" xfId="0" applyFont="1" applyBorder="1"/>
    <xf numFmtId="0" fontId="4" fillId="0" borderId="2" xfId="0" applyFont="1" applyBorder="1"/>
    <xf numFmtId="0" fontId="5" fillId="0" borderId="3" xfId="0" applyFont="1" applyBorder="1" applyAlignment="1">
      <alignment horizontal="center"/>
    </xf>
    <xf numFmtId="0" fontId="5" fillId="0" borderId="4" xfId="0" applyFont="1" applyBorder="1" applyAlignment="1">
      <alignment horizontal="center"/>
    </xf>
    <xf numFmtId="0" fontId="4" fillId="0" borderId="5" xfId="0" applyFont="1" applyBorder="1"/>
    <xf numFmtId="0" fontId="5" fillId="0" borderId="3" xfId="0" applyFont="1" applyBorder="1"/>
    <xf numFmtId="0" fontId="5" fillId="0" borderId="6" xfId="0" applyFont="1" applyBorder="1" applyAlignment="1">
      <alignment horizontal="center"/>
    </xf>
    <xf numFmtId="0" fontId="4" fillId="0" borderId="6" xfId="0" applyFont="1" applyBorder="1"/>
    <xf numFmtId="0" fontId="5" fillId="0" borderId="4" xfId="0" applyFont="1" applyBorder="1"/>
    <xf numFmtId="0" fontId="5" fillId="0" borderId="2" xfId="0" applyFont="1" applyBorder="1"/>
    <xf numFmtId="0" fontId="4" fillId="0" borderId="2" xfId="0" applyFont="1" applyBorder="1" applyAlignment="1">
      <alignment horizontal="center" wrapText="1"/>
    </xf>
    <xf numFmtId="0" fontId="4" fillId="0" borderId="3" xfId="0" applyFont="1" applyBorder="1" applyAlignment="1">
      <alignment wrapText="1"/>
    </xf>
    <xf numFmtId="0" fontId="5" fillId="0" borderId="1" xfId="0" applyFont="1" applyBorder="1" applyAlignment="1">
      <alignment horizontal="center"/>
    </xf>
    <xf numFmtId="0" fontId="4" fillId="0" borderId="7" xfId="0" applyFont="1" applyBorder="1" applyAlignment="1">
      <alignment horizontal="center"/>
    </xf>
    <xf numFmtId="0" fontId="5" fillId="0" borderId="6" xfId="0" applyFont="1" applyBorder="1"/>
    <xf numFmtId="0" fontId="5" fillId="0" borderId="8" xfId="0" applyFont="1" applyBorder="1"/>
    <xf numFmtId="0" fontId="5" fillId="0" borderId="9" xfId="0" applyFont="1" applyBorder="1"/>
    <xf numFmtId="0" fontId="5" fillId="0" borderId="0" xfId="0" applyFont="1" applyBorder="1"/>
    <xf numFmtId="0" fontId="4" fillId="0" borderId="0" xfId="0" applyFont="1" applyBorder="1"/>
    <xf numFmtId="0" fontId="4" fillId="0" borderId="3" xfId="0" applyFont="1" applyBorder="1"/>
    <xf numFmtId="0" fontId="4" fillId="0" borderId="4" xfId="0" applyFont="1" applyBorder="1"/>
    <xf numFmtId="0" fontId="4" fillId="0" borderId="10" xfId="0" applyFont="1" applyBorder="1"/>
    <xf numFmtId="0" fontId="4" fillId="0" borderId="11" xfId="0" applyFont="1" applyBorder="1"/>
    <xf numFmtId="0" fontId="4" fillId="0" borderId="12" xfId="0" applyFont="1" applyBorder="1" applyAlignment="1">
      <alignment horizontal="center"/>
    </xf>
    <xf numFmtId="0" fontId="4" fillId="0" borderId="12" xfId="0" applyFont="1" applyBorder="1"/>
    <xf numFmtId="0" fontId="4" fillId="0" borderId="6" xfId="0" applyFont="1" applyBorder="1" applyAlignment="1">
      <alignment wrapText="1"/>
    </xf>
    <xf numFmtId="0" fontId="3" fillId="0" borderId="0" xfId="0" applyFont="1"/>
    <xf numFmtId="0" fontId="4" fillId="2" borderId="10" xfId="0" applyFont="1" applyFill="1" applyBorder="1" applyAlignment="1"/>
    <xf numFmtId="0" fontId="3" fillId="0" borderId="13" xfId="0" applyFont="1" applyBorder="1"/>
    <xf numFmtId="0" fontId="4" fillId="2" borderId="12" xfId="0" applyFont="1" applyFill="1" applyBorder="1" applyAlignment="1"/>
    <xf numFmtId="0" fontId="3" fillId="0" borderId="10" xfId="0" applyFont="1" applyBorder="1"/>
    <xf numFmtId="0" fontId="5" fillId="2" borderId="6" xfId="0" applyFont="1" applyFill="1" applyBorder="1"/>
    <xf numFmtId="0" fontId="3" fillId="0" borderId="0" xfId="0" applyFont="1" applyBorder="1"/>
    <xf numFmtId="0" fontId="4" fillId="2" borderId="7" xfId="0" applyFont="1" applyFill="1" applyBorder="1" applyAlignment="1">
      <alignment horizontal="left"/>
    </xf>
    <xf numFmtId="0" fontId="3" fillId="0" borderId="9" xfId="0" applyFont="1" applyBorder="1"/>
    <xf numFmtId="0" fontId="5" fillId="2" borderId="0" xfId="0" applyFont="1" applyFill="1" applyBorder="1"/>
    <xf numFmtId="0" fontId="5" fillId="2" borderId="1" xfId="0" applyFont="1" applyFill="1" applyBorder="1"/>
    <xf numFmtId="0" fontId="3" fillId="0" borderId="1" xfId="0" applyFont="1" applyBorder="1"/>
    <xf numFmtId="0" fontId="4" fillId="2" borderId="6" xfId="0" applyFont="1" applyFill="1" applyBorder="1" applyAlignment="1"/>
    <xf numFmtId="0" fontId="4" fillId="2" borderId="0" xfId="0" applyFont="1" applyFill="1" applyBorder="1" applyAlignment="1"/>
    <xf numFmtId="0" fontId="4" fillId="2" borderId="6" xfId="0" applyFont="1" applyFill="1" applyBorder="1" applyAlignment="1">
      <alignment wrapText="1"/>
    </xf>
    <xf numFmtId="0" fontId="4" fillId="2" borderId="6" xfId="0" applyFont="1" applyFill="1" applyBorder="1" applyAlignment="1">
      <alignment horizontal="center"/>
    </xf>
    <xf numFmtId="0" fontId="4" fillId="2" borderId="6" xfId="0" applyFont="1" applyFill="1" applyBorder="1"/>
    <xf numFmtId="0" fontId="5" fillId="2" borderId="0" xfId="0" applyFont="1" applyFill="1" applyBorder="1" applyAlignment="1">
      <alignment horizontal="center"/>
    </xf>
    <xf numFmtId="0" fontId="5" fillId="2" borderId="1" xfId="0" applyFont="1" applyFill="1" applyBorder="1" applyAlignment="1">
      <alignment horizontal="center"/>
    </xf>
    <xf numFmtId="0" fontId="5" fillId="2" borderId="14" xfId="0" applyFont="1" applyFill="1" applyBorder="1" applyAlignment="1">
      <alignment horizontal="center"/>
    </xf>
    <xf numFmtId="0" fontId="5" fillId="2" borderId="2" xfId="0" applyFont="1" applyFill="1" applyBorder="1"/>
    <xf numFmtId="0" fontId="3" fillId="0" borderId="2" xfId="0" applyFont="1" applyBorder="1"/>
    <xf numFmtId="0" fontId="5" fillId="2" borderId="6" xfId="0" applyFont="1" applyFill="1" applyBorder="1" applyAlignment="1">
      <alignment horizontal="center"/>
    </xf>
    <xf numFmtId="0" fontId="5" fillId="2" borderId="14" xfId="0" applyFont="1" applyFill="1" applyBorder="1"/>
    <xf numFmtId="0" fontId="5" fillId="2" borderId="1" xfId="0" applyFont="1" applyFill="1" applyBorder="1" applyAlignment="1"/>
    <xf numFmtId="0" fontId="5" fillId="0" borderId="0" xfId="0" applyFont="1" applyBorder="1" applyAlignment="1">
      <alignment horizontal="center"/>
    </xf>
    <xf numFmtId="0" fontId="5" fillId="2" borderId="2" xfId="0" applyFont="1" applyFill="1" applyBorder="1" applyAlignment="1">
      <alignment horizontal="right"/>
    </xf>
    <xf numFmtId="0" fontId="5" fillId="2" borderId="12" xfId="0" applyFont="1" applyFill="1" applyBorder="1" applyAlignment="1">
      <alignment horizontal="right"/>
    </xf>
    <xf numFmtId="0" fontId="5" fillId="2" borderId="5" xfId="0" applyFont="1" applyFill="1" applyBorder="1"/>
    <xf numFmtId="0" fontId="4" fillId="2" borderId="14" xfId="0" applyFont="1" applyFill="1" applyBorder="1" applyAlignment="1">
      <alignment horizontal="center"/>
    </xf>
    <xf numFmtId="0" fontId="8" fillId="2" borderId="6" xfId="0" applyFont="1" applyFill="1" applyBorder="1"/>
    <xf numFmtId="0" fontId="3" fillId="0" borderId="14" xfId="0" applyFont="1" applyBorder="1"/>
    <xf numFmtId="0" fontId="3" fillId="0" borderId="5" xfId="0" applyFont="1" applyBorder="1"/>
    <xf numFmtId="0" fontId="6" fillId="0" borderId="10" xfId="0" applyFont="1" applyBorder="1"/>
    <xf numFmtId="0" fontId="3" fillId="0" borderId="12" xfId="0" applyFont="1" applyBorder="1"/>
    <xf numFmtId="0" fontId="3" fillId="0" borderId="7" xfId="0" applyFont="1" applyBorder="1"/>
    <xf numFmtId="0" fontId="3" fillId="0" borderId="6" xfId="0" applyFont="1" applyBorder="1"/>
    <xf numFmtId="0" fontId="4" fillId="2" borderId="4" xfId="0" applyFont="1" applyFill="1" applyBorder="1" applyAlignment="1">
      <alignment horizontal="center"/>
    </xf>
    <xf numFmtId="0" fontId="3" fillId="0" borderId="3" xfId="0" applyFont="1" applyBorder="1"/>
    <xf numFmtId="0" fontId="3" fillId="0" borderId="15" xfId="0" applyFont="1" applyBorder="1"/>
    <xf numFmtId="0" fontId="3" fillId="0" borderId="8" xfId="0" applyFont="1" applyBorder="1"/>
    <xf numFmtId="0" fontId="4" fillId="0" borderId="0" xfId="0" applyFont="1" applyAlignment="1">
      <alignment horizontal="justify"/>
    </xf>
    <xf numFmtId="0" fontId="3" fillId="0" borderId="11" xfId="0" applyFont="1" applyBorder="1"/>
    <xf numFmtId="0" fontId="5" fillId="0" borderId="6" xfId="0" applyFont="1" applyBorder="1" applyAlignment="1">
      <alignment horizontal="justify" vertical="top" wrapText="1"/>
    </xf>
    <xf numFmtId="0" fontId="5" fillId="0" borderId="9" xfId="0" applyFont="1" applyBorder="1" applyAlignment="1">
      <alignment horizontal="right" vertical="top" wrapText="1"/>
    </xf>
    <xf numFmtId="0" fontId="5" fillId="0" borderId="2" xfId="0" applyFont="1" applyBorder="1" applyAlignment="1">
      <alignment horizontal="right" vertical="top" wrapText="1"/>
    </xf>
    <xf numFmtId="0" fontId="5" fillId="0" borderId="14" xfId="0" applyFont="1" applyBorder="1" applyAlignment="1">
      <alignment horizontal="justify" vertical="top" wrapText="1"/>
    </xf>
    <xf numFmtId="0" fontId="3" fillId="0" borderId="0" xfId="0" applyFont="1" applyAlignment="1">
      <alignment horizontal="left"/>
    </xf>
    <xf numFmtId="0" fontId="5" fillId="0" borderId="8" xfId="0" applyFont="1" applyBorder="1" applyAlignment="1">
      <alignment horizontal="justify" vertical="top" wrapText="1"/>
    </xf>
    <xf numFmtId="0" fontId="5" fillId="0" borderId="3" xfId="0" applyFont="1" applyBorder="1" applyAlignment="1">
      <alignment horizontal="justify" vertical="top" wrapText="1"/>
    </xf>
    <xf numFmtId="0" fontId="5" fillId="0" borderId="7" xfId="0" applyFont="1" applyBorder="1" applyAlignment="1">
      <alignment horizontal="justify" vertical="top" wrapText="1"/>
    </xf>
    <xf numFmtId="0" fontId="3" fillId="0" borderId="16" xfId="0" applyFont="1" applyBorder="1"/>
    <xf numFmtId="0" fontId="3" fillId="0" borderId="4" xfId="0" applyFont="1" applyBorder="1"/>
    <xf numFmtId="0" fontId="5" fillId="0" borderId="11" xfId="0" applyFont="1" applyBorder="1" applyAlignment="1">
      <alignment horizontal="justify" vertical="top" wrapText="1"/>
    </xf>
    <xf numFmtId="0" fontId="5" fillId="0" borderId="12" xfId="0" applyFont="1" applyBorder="1" applyAlignment="1">
      <alignment horizontal="justify" vertical="top" wrapText="1"/>
    </xf>
    <xf numFmtId="0" fontId="5" fillId="0" borderId="4" xfId="0" applyFont="1" applyBorder="1" applyAlignment="1">
      <alignment horizontal="center" vertical="top" wrapText="1"/>
    </xf>
    <xf numFmtId="0" fontId="5" fillId="0" borderId="4" xfId="0" applyFont="1" applyBorder="1" applyAlignment="1">
      <alignment vertical="top" wrapText="1"/>
    </xf>
    <xf numFmtId="0" fontId="3" fillId="0" borderId="17" xfId="0" applyFont="1" applyBorder="1"/>
    <xf numFmtId="0" fontId="5" fillId="0" borderId="1" xfId="0" applyFont="1" applyBorder="1" applyAlignment="1">
      <alignment horizontal="justify" vertical="top" wrapText="1"/>
    </xf>
    <xf numFmtId="0" fontId="5" fillId="0" borderId="10" xfId="0" applyFont="1" applyBorder="1" applyAlignment="1">
      <alignment horizontal="justify" vertical="top" wrapText="1"/>
    </xf>
    <xf numFmtId="0" fontId="5" fillId="0" borderId="1" xfId="0" applyFont="1" applyBorder="1" applyAlignment="1">
      <alignment horizontal="right" vertical="top" wrapText="1"/>
    </xf>
    <xf numFmtId="0" fontId="5" fillId="0" borderId="0" xfId="0" applyFont="1" applyBorder="1" applyAlignment="1">
      <alignment horizontal="justify" vertical="top" wrapText="1"/>
    </xf>
    <xf numFmtId="0" fontId="5" fillId="0" borderId="13" xfId="0" applyFont="1" applyBorder="1" applyAlignment="1">
      <alignment horizontal="justify" vertical="top" wrapText="1"/>
    </xf>
    <xf numFmtId="0" fontId="5" fillId="0" borderId="5" xfId="0" applyFont="1" applyBorder="1" applyAlignment="1">
      <alignment horizontal="justify" vertical="top" wrapText="1"/>
    </xf>
    <xf numFmtId="0" fontId="4" fillId="0" borderId="14" xfId="0" applyFont="1" applyBorder="1" applyAlignment="1">
      <alignment horizontal="justify" vertical="top" wrapText="1"/>
    </xf>
    <xf numFmtId="0" fontId="4" fillId="0" borderId="10" xfId="0" applyFont="1" applyBorder="1" applyAlignment="1">
      <alignment horizontal="justify" vertical="top" wrapText="1"/>
    </xf>
    <xf numFmtId="0" fontId="12" fillId="0" borderId="6" xfId="0" applyFont="1" applyBorder="1" applyAlignment="1">
      <alignment horizontal="justify" vertical="top" wrapText="1"/>
    </xf>
    <xf numFmtId="0" fontId="5" fillId="0" borderId="6" xfId="0" applyFont="1" applyBorder="1" applyAlignment="1">
      <alignment vertical="top" wrapText="1"/>
    </xf>
    <xf numFmtId="0" fontId="5" fillId="0" borderId="16" xfId="0" applyFont="1" applyBorder="1" applyAlignment="1">
      <alignment wrapText="1"/>
    </xf>
    <xf numFmtId="14" fontId="5" fillId="0" borderId="4" xfId="0" quotePrefix="1" applyNumberFormat="1" applyFont="1" applyBorder="1" applyAlignment="1">
      <alignment wrapText="1"/>
    </xf>
    <xf numFmtId="0" fontId="5" fillId="0" borderId="4" xfId="0" applyFont="1" applyBorder="1" applyAlignment="1">
      <alignment wrapText="1"/>
    </xf>
    <xf numFmtId="0" fontId="4" fillId="0" borderId="4" xfId="0" applyFont="1" applyBorder="1" applyAlignment="1">
      <alignment wrapText="1"/>
    </xf>
    <xf numFmtId="0" fontId="4" fillId="0" borderId="6" xfId="0" applyFont="1" applyBorder="1" applyAlignment="1">
      <alignment horizontal="left" vertical="top" wrapText="1"/>
    </xf>
    <xf numFmtId="0" fontId="13" fillId="0" borderId="0" xfId="0" applyFont="1" applyAlignment="1">
      <alignment horizontal="justify"/>
    </xf>
    <xf numFmtId="0" fontId="5" fillId="0" borderId="0" xfId="0" applyFont="1" applyAlignment="1">
      <alignment horizontal="justify"/>
    </xf>
    <xf numFmtId="0" fontId="5" fillId="0" borderId="3" xfId="0" applyFont="1" applyBorder="1" applyAlignment="1">
      <alignment horizontal="left" vertical="top" wrapText="1"/>
    </xf>
    <xf numFmtId="0" fontId="5" fillId="0" borderId="11" xfId="0" applyFont="1" applyBorder="1" applyAlignment="1">
      <alignment horizontal="center" vertical="top" wrapText="1"/>
    </xf>
    <xf numFmtId="0" fontId="5" fillId="0" borderId="11" xfId="0" applyFont="1" applyBorder="1" applyAlignment="1">
      <alignment vertical="top" wrapText="1"/>
    </xf>
    <xf numFmtId="0" fontId="5" fillId="0" borderId="12" xfId="0" applyFont="1" applyBorder="1" applyAlignment="1">
      <alignment vertical="top" wrapText="1"/>
    </xf>
    <xf numFmtId="0" fontId="5" fillId="0" borderId="11" xfId="0" quotePrefix="1" applyFont="1" applyBorder="1" applyAlignment="1">
      <alignment horizontal="center" vertical="top" wrapText="1"/>
    </xf>
    <xf numFmtId="0" fontId="5" fillId="0" borderId="11" xfId="0" quotePrefix="1" applyFont="1" applyBorder="1" applyAlignment="1">
      <alignment vertical="top" wrapText="1"/>
    </xf>
    <xf numFmtId="0" fontId="11" fillId="0" borderId="0" xfId="0" applyFont="1" applyAlignment="1">
      <alignment horizontal="justify"/>
    </xf>
    <xf numFmtId="0" fontId="4" fillId="0" borderId="7" xfId="0" applyFont="1" applyBorder="1" applyAlignment="1">
      <alignment horizontal="justify" vertical="top" wrapText="1"/>
    </xf>
    <xf numFmtId="0" fontId="5" fillId="0" borderId="6" xfId="0" applyFont="1" applyBorder="1" applyAlignment="1">
      <alignment horizontal="left" vertical="top" wrapText="1" indent="4"/>
    </xf>
    <xf numFmtId="0" fontId="5" fillId="0" borderId="6" xfId="0" applyFont="1" applyBorder="1" applyAlignment="1">
      <alignment horizontal="left" vertical="top" wrapText="1" indent="2"/>
    </xf>
    <xf numFmtId="0" fontId="5" fillId="0" borderId="6" xfId="0" applyFont="1" applyBorder="1" applyAlignment="1">
      <alignment horizontal="left" vertical="top" wrapText="1"/>
    </xf>
    <xf numFmtId="0" fontId="12" fillId="0" borderId="6" xfId="0" applyFont="1" applyBorder="1" applyAlignment="1">
      <alignment horizontal="left" vertical="top" wrapText="1"/>
    </xf>
    <xf numFmtId="0" fontId="5" fillId="0" borderId="3" xfId="0" applyFont="1" applyBorder="1" applyAlignment="1">
      <alignment wrapText="1"/>
    </xf>
    <xf numFmtId="0" fontId="5" fillId="0" borderId="0" xfId="0" applyFont="1" applyAlignment="1">
      <alignment horizontal="right"/>
    </xf>
    <xf numFmtId="0" fontId="4" fillId="0" borderId="7" xfId="0" applyFont="1" applyBorder="1" applyAlignment="1">
      <alignment horizontal="justify"/>
    </xf>
    <xf numFmtId="0" fontId="5" fillId="0" borderId="6" xfId="0" applyFont="1" applyBorder="1" applyAlignment="1">
      <alignment horizontal="left" vertical="top" wrapText="1" indent="1"/>
    </xf>
    <xf numFmtId="0" fontId="4" fillId="0" borderId="7" xfId="0" applyFont="1" applyBorder="1" applyAlignment="1">
      <alignment vertical="top" wrapText="1"/>
    </xf>
    <xf numFmtId="0" fontId="5" fillId="0" borderId="4" xfId="0" applyFont="1" applyBorder="1" applyAlignment="1">
      <alignment horizontal="right" vertical="top" wrapText="1"/>
    </xf>
    <xf numFmtId="0" fontId="15" fillId="0" borderId="10" xfId="0" applyFont="1" applyBorder="1" applyAlignment="1">
      <alignment horizontal="justify" vertical="top" wrapText="1"/>
    </xf>
    <xf numFmtId="0" fontId="5" fillId="0" borderId="6" xfId="0" applyFont="1" applyBorder="1" applyAlignment="1">
      <alignment horizontal="justify"/>
    </xf>
    <xf numFmtId="0" fontId="4" fillId="0" borderId="6" xfId="0" applyFont="1" applyBorder="1" applyAlignment="1">
      <alignment horizontal="left" vertical="top" wrapText="1" indent="1"/>
    </xf>
    <xf numFmtId="0" fontId="11" fillId="0" borderId="6" xfId="0" applyFont="1" applyBorder="1" applyAlignment="1">
      <alignment horizontal="left" vertical="top" wrapText="1" indent="2"/>
    </xf>
    <xf numFmtId="0" fontId="4" fillId="0" borderId="10" xfId="0" applyFont="1" applyBorder="1" applyAlignment="1">
      <alignment vertical="top" wrapText="1"/>
    </xf>
    <xf numFmtId="0" fontId="12" fillId="0" borderId="10" xfId="0" applyFont="1" applyBorder="1" applyAlignment="1">
      <alignment horizontal="left" vertical="top" wrapText="1" indent="2"/>
    </xf>
    <xf numFmtId="0" fontId="4" fillId="0" borderId="10" xfId="0" applyFont="1" applyBorder="1" applyAlignment="1">
      <alignment horizontal="left" vertical="top" wrapText="1" indent="2"/>
    </xf>
    <xf numFmtId="0" fontId="4" fillId="0" borderId="6" xfId="0" applyFont="1" applyBorder="1" applyAlignment="1">
      <alignment horizontal="left" vertical="top" wrapText="1" indent="2"/>
    </xf>
    <xf numFmtId="0" fontId="4" fillId="0" borderId="6" xfId="0" applyFont="1" applyBorder="1" applyAlignment="1">
      <alignment vertical="top" wrapText="1"/>
    </xf>
    <xf numFmtId="0" fontId="4" fillId="0" borderId="6" xfId="0" applyFont="1" applyBorder="1" applyAlignment="1">
      <alignment horizontal="left" wrapText="1"/>
    </xf>
    <xf numFmtId="0" fontId="5" fillId="0" borderId="10" xfId="0" applyFont="1" applyBorder="1" applyAlignment="1">
      <alignment vertical="top" wrapText="1"/>
    </xf>
    <xf numFmtId="0" fontId="5" fillId="0" borderId="6" xfId="0" applyFont="1" applyBorder="1" applyAlignment="1">
      <alignment horizontal="right" vertical="top" wrapText="1"/>
    </xf>
    <xf numFmtId="0" fontId="13" fillId="0" borderId="3" xfId="0" applyFont="1" applyBorder="1"/>
    <xf numFmtId="0" fontId="5" fillId="0" borderId="4" xfId="0" applyFont="1" applyBorder="1" applyAlignment="1">
      <alignment horizontal="justify"/>
    </xf>
    <xf numFmtId="0" fontId="5" fillId="0" borderId="9" xfId="0" applyFont="1" applyBorder="1" applyAlignment="1">
      <alignment horizontal="justify" vertical="top" wrapText="1"/>
    </xf>
    <xf numFmtId="0" fontId="5" fillId="0" borderId="9" xfId="0" applyFont="1" applyBorder="1" applyAlignment="1">
      <alignment vertical="top" wrapText="1"/>
    </xf>
    <xf numFmtId="0" fontId="5" fillId="0" borderId="1" xfId="0" applyFont="1" applyBorder="1" applyAlignment="1">
      <alignment wrapText="1"/>
    </xf>
    <xf numFmtId="0" fontId="5" fillId="0" borderId="3" xfId="0" applyFont="1" applyBorder="1" applyAlignment="1">
      <alignment horizontal="right" vertical="top" wrapText="1"/>
    </xf>
    <xf numFmtId="0" fontId="5" fillId="0" borderId="4" xfId="0" applyFont="1" applyBorder="1" applyAlignment="1">
      <alignment horizontal="left" vertical="top" wrapText="1"/>
    </xf>
    <xf numFmtId="0" fontId="5" fillId="0" borderId="9" xfId="0" applyFont="1" applyBorder="1" applyAlignment="1">
      <alignment horizontal="left" vertical="top" wrapText="1"/>
    </xf>
    <xf numFmtId="0" fontId="5" fillId="0" borderId="3" xfId="0" applyFont="1" applyBorder="1" applyAlignment="1">
      <alignment horizontal="left" wrapText="1"/>
    </xf>
    <xf numFmtId="0" fontId="5" fillId="0" borderId="2" xfId="0" applyFont="1" applyBorder="1" applyAlignment="1">
      <alignment horizontal="left" vertical="top" wrapText="1"/>
    </xf>
    <xf numFmtId="0" fontId="16" fillId="0" borderId="0" xfId="0" applyFont="1"/>
    <xf numFmtId="0" fontId="5" fillId="0" borderId="12" xfId="0" applyFont="1" applyBorder="1" applyAlignment="1">
      <alignment horizontal="center" vertical="top" wrapText="1"/>
    </xf>
    <xf numFmtId="0" fontId="5" fillId="0" borderId="3" xfId="0" applyFont="1" applyBorder="1" applyAlignment="1">
      <alignment vertical="top" wrapText="1"/>
    </xf>
    <xf numFmtId="0" fontId="5" fillId="0" borderId="8" xfId="0" applyFont="1" applyBorder="1" applyAlignment="1">
      <alignment vertical="top" wrapText="1"/>
    </xf>
    <xf numFmtId="0" fontId="17" fillId="0" borderId="0" xfId="0" applyFont="1"/>
    <xf numFmtId="0" fontId="3" fillId="0" borderId="12" xfId="0" applyFont="1" applyBorder="1" applyAlignment="1">
      <alignment horizontal="center"/>
    </xf>
    <xf numFmtId="0" fontId="3" fillId="0" borderId="2" xfId="0" applyFont="1" applyBorder="1" applyAlignment="1">
      <alignment horizontal="center"/>
    </xf>
    <xf numFmtId="14" fontId="5" fillId="0" borderId="2" xfId="0" quotePrefix="1" applyNumberFormat="1" applyFont="1" applyBorder="1" applyAlignment="1">
      <alignment horizontal="center" vertical="top" wrapText="1"/>
    </xf>
    <xf numFmtId="0" fontId="5" fillId="0" borderId="8" xfId="0" applyFont="1" applyBorder="1" applyAlignment="1">
      <alignment horizontal="center" vertical="top" wrapText="1"/>
    </xf>
    <xf numFmtId="0" fontId="5" fillId="0" borderId="2" xfId="0" applyFont="1" applyBorder="1" applyAlignment="1">
      <alignment horizontal="center" vertical="top" wrapText="1"/>
    </xf>
    <xf numFmtId="0" fontId="3" fillId="0" borderId="11" xfId="0" applyFont="1" applyBorder="1" applyAlignment="1">
      <alignment horizontal="center"/>
    </xf>
    <xf numFmtId="0" fontId="3" fillId="0" borderId="8" xfId="0" applyFont="1" applyBorder="1" applyAlignment="1">
      <alignment horizontal="center"/>
    </xf>
    <xf numFmtId="0" fontId="11" fillId="0" borderId="6" xfId="0" applyFont="1" applyBorder="1" applyAlignment="1">
      <alignment horizontal="left" vertical="top" wrapText="1"/>
    </xf>
    <xf numFmtId="0" fontId="5" fillId="0" borderId="16" xfId="0" applyFont="1" applyBorder="1" applyAlignment="1">
      <alignment horizontal="justify" vertical="top" wrapText="1"/>
    </xf>
    <xf numFmtId="0" fontId="3" fillId="0" borderId="18" xfId="0" applyFont="1" applyBorder="1"/>
    <xf numFmtId="0" fontId="5" fillId="0" borderId="19" xfId="0" applyFont="1" applyBorder="1" applyAlignment="1">
      <alignment horizontal="justify" vertical="top" wrapText="1"/>
    </xf>
    <xf numFmtId="0" fontId="3" fillId="0" borderId="4" xfId="0" applyFont="1" applyBorder="1" applyAlignment="1">
      <alignment horizontal="center"/>
    </xf>
    <xf numFmtId="0" fontId="5" fillId="0" borderId="6" xfId="0" applyFont="1" applyBorder="1" applyAlignment="1">
      <alignment horizontal="left" vertical="top" wrapText="1" indent="3"/>
    </xf>
    <xf numFmtId="3" fontId="5" fillId="0" borderId="4" xfId="0" applyNumberFormat="1" applyFont="1" applyBorder="1" applyAlignment="1">
      <alignment horizontal="right" vertical="top" wrapText="1"/>
    </xf>
    <xf numFmtId="3" fontId="5" fillId="0" borderId="9" xfId="0" applyNumberFormat="1" applyFont="1" applyBorder="1" applyAlignment="1">
      <alignment horizontal="right" vertical="top" wrapText="1"/>
    </xf>
    <xf numFmtId="0" fontId="3" fillId="0" borderId="3" xfId="0" applyFont="1" applyBorder="1" applyAlignment="1">
      <alignment horizontal="right"/>
    </xf>
    <xf numFmtId="0" fontId="3" fillId="0" borderId="1" xfId="0" applyFont="1" applyBorder="1" applyAlignment="1">
      <alignment horizontal="right"/>
    </xf>
    <xf numFmtId="0" fontId="5" fillId="0" borderId="8" xfId="0" applyFont="1" applyBorder="1" applyAlignment="1">
      <alignment horizontal="right" vertical="top" wrapText="1"/>
    </xf>
    <xf numFmtId="3" fontId="5" fillId="0" borderId="2" xfId="0" applyNumberFormat="1" applyFont="1" applyBorder="1" applyAlignment="1">
      <alignment horizontal="right" vertical="top" wrapText="1"/>
    </xf>
    <xf numFmtId="3" fontId="5" fillId="0" borderId="8" xfId="0" applyNumberFormat="1" applyFont="1" applyBorder="1" applyAlignment="1">
      <alignment horizontal="right" vertical="top" wrapText="1"/>
    </xf>
    <xf numFmtId="0" fontId="12" fillId="0" borderId="6" xfId="0" applyFont="1" applyBorder="1" applyAlignment="1">
      <alignment horizontal="left" vertical="top" wrapText="1" indent="1"/>
    </xf>
    <xf numFmtId="0" fontId="3" fillId="0" borderId="7" xfId="0" applyFont="1" applyBorder="1" applyAlignment="1">
      <alignment horizontal="center"/>
    </xf>
    <xf numFmtId="0" fontId="5" fillId="0" borderId="3" xfId="0" applyFont="1" applyBorder="1" applyAlignment="1">
      <alignment horizontal="left" vertical="top" wrapText="1" indent="1"/>
    </xf>
    <xf numFmtId="0" fontId="4" fillId="0" borderId="4" xfId="0" applyFont="1" applyBorder="1" applyAlignment="1">
      <alignment horizontal="left" vertical="center" wrapText="1" indent="1"/>
    </xf>
    <xf numFmtId="0" fontId="5" fillId="0" borderId="12" xfId="0" applyFont="1" applyBorder="1" applyAlignment="1">
      <alignment horizontal="right" vertical="top" wrapText="1"/>
    </xf>
    <xf numFmtId="0" fontId="4" fillId="0" borderId="4" xfId="0" applyFont="1" applyBorder="1" applyAlignment="1">
      <alignment vertical="top" wrapText="1"/>
    </xf>
    <xf numFmtId="14" fontId="5" fillId="0" borderId="4" xfId="0" applyNumberFormat="1" applyFont="1" applyBorder="1" applyAlignment="1">
      <alignment vertical="top" wrapText="1"/>
    </xf>
    <xf numFmtId="0" fontId="5" fillId="0" borderId="16" xfId="0" applyFont="1" applyBorder="1" applyAlignment="1">
      <alignment vertical="top" wrapText="1"/>
    </xf>
    <xf numFmtId="0" fontId="5" fillId="0" borderId="4" xfId="0" applyFont="1" applyBorder="1" applyAlignment="1">
      <alignment horizontal="justify" vertical="top" wrapText="1"/>
    </xf>
    <xf numFmtId="0" fontId="5" fillId="0" borderId="11" xfId="0" applyFont="1" applyBorder="1" applyAlignment="1">
      <alignment horizontal="right" vertical="top" wrapText="1"/>
    </xf>
    <xf numFmtId="0" fontId="5" fillId="0" borderId="4" xfId="0" applyFont="1" applyBorder="1" applyAlignment="1">
      <alignment horizontal="center" wrapText="1"/>
    </xf>
    <xf numFmtId="0" fontId="3" fillId="0" borderId="11" xfId="0" applyFont="1" applyBorder="1" applyAlignment="1">
      <alignment horizontal="right"/>
    </xf>
    <xf numFmtId="0" fontId="5" fillId="0" borderId="13" xfId="0" applyFont="1" applyBorder="1" applyAlignment="1">
      <alignment horizontal="right" vertical="top" wrapText="1"/>
    </xf>
    <xf numFmtId="0" fontId="5" fillId="0" borderId="0" xfId="0" applyFont="1" applyBorder="1" applyAlignment="1">
      <alignment horizontal="right" vertical="top" wrapText="1"/>
    </xf>
    <xf numFmtId="0" fontId="3" fillId="0" borderId="4" xfId="0" applyFont="1" applyBorder="1" applyAlignment="1">
      <alignment horizontal="right"/>
    </xf>
    <xf numFmtId="0" fontId="3" fillId="0" borderId="8" xfId="0" applyFont="1" applyBorder="1" applyAlignment="1">
      <alignment horizontal="right"/>
    </xf>
    <xf numFmtId="0" fontId="3" fillId="0" borderId="5" xfId="0" applyFont="1" applyBorder="1" applyAlignment="1">
      <alignment horizontal="right"/>
    </xf>
    <xf numFmtId="0" fontId="3" fillId="0" borderId="2" xfId="0" applyFont="1" applyBorder="1" applyAlignment="1">
      <alignment horizontal="right"/>
    </xf>
    <xf numFmtId="14" fontId="5" fillId="0" borderId="4" xfId="0" quotePrefix="1" applyNumberFormat="1" applyFont="1" applyBorder="1" applyAlignment="1">
      <alignment vertical="top" wrapText="1"/>
    </xf>
    <xf numFmtId="0" fontId="5" fillId="0" borderId="9" xfId="0" quotePrefix="1" applyFont="1" applyBorder="1" applyAlignment="1">
      <alignment vertical="top"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center"/>
    </xf>
    <xf numFmtId="0" fontId="5" fillId="0" borderId="8" xfId="0" applyFont="1" applyBorder="1" applyAlignment="1">
      <alignment horizontal="left" vertical="top" wrapText="1" indent="1"/>
    </xf>
    <xf numFmtId="0" fontId="5" fillId="0" borderId="1" xfId="0" applyFont="1" applyBorder="1" applyAlignment="1">
      <alignment horizontal="right" wrapText="1"/>
    </xf>
    <xf numFmtId="0" fontId="5" fillId="0" borderId="6" xfId="0" applyFont="1" applyBorder="1" applyAlignment="1">
      <alignment horizontal="right" wrapText="1"/>
    </xf>
    <xf numFmtId="0" fontId="11" fillId="0" borderId="6" xfId="0" applyFont="1" applyBorder="1" applyAlignment="1">
      <alignment horizontal="left" vertical="top" wrapText="1" indent="1"/>
    </xf>
    <xf numFmtId="0" fontId="5" fillId="0" borderId="6" xfId="0" quotePrefix="1" applyFont="1" applyBorder="1" applyAlignment="1">
      <alignment horizontal="left" vertical="top" wrapText="1" indent="1"/>
    </xf>
    <xf numFmtId="0" fontId="3" fillId="0" borderId="0" xfId="0" applyFont="1" applyAlignment="1">
      <alignment horizontal="left" vertical="top" wrapText="1"/>
    </xf>
    <xf numFmtId="0" fontId="4" fillId="0" borderId="0" xfId="0" applyFont="1" applyAlignment="1">
      <alignment horizontal="left" vertical="top" wrapText="1"/>
    </xf>
    <xf numFmtId="0" fontId="4" fillId="0" borderId="7" xfId="0" applyFont="1" applyBorder="1" applyAlignment="1">
      <alignment horizontal="left" vertical="top" wrapText="1"/>
    </xf>
    <xf numFmtId="0" fontId="4" fillId="0" borderId="10" xfId="0" applyFont="1" applyBorder="1" applyAlignment="1">
      <alignment horizontal="left" vertical="top" wrapText="1"/>
    </xf>
    <xf numFmtId="0" fontId="3" fillId="0" borderId="10" xfId="0" applyFont="1" applyBorder="1" applyAlignment="1">
      <alignment horizontal="left" vertical="top" wrapText="1"/>
    </xf>
    <xf numFmtId="0" fontId="3" fillId="0" borderId="6" xfId="0" applyFont="1" applyBorder="1" applyAlignment="1">
      <alignment horizontal="right" wrapText="1"/>
    </xf>
    <xf numFmtId="0" fontId="3" fillId="0" borderId="14" xfId="0" applyFont="1" applyBorder="1" applyAlignment="1">
      <alignment horizontal="right" wrapText="1"/>
    </xf>
    <xf numFmtId="0" fontId="5" fillId="0" borderId="14" xfId="0" applyFont="1" applyBorder="1" applyAlignment="1">
      <alignment horizontal="right" wrapText="1"/>
    </xf>
    <xf numFmtId="0" fontId="4" fillId="0" borderId="14" xfId="0" applyFont="1" applyBorder="1" applyAlignment="1">
      <alignment horizontal="left" vertical="top" wrapText="1"/>
    </xf>
    <xf numFmtId="0" fontId="5" fillId="0" borderId="4" xfId="0" applyFont="1" applyBorder="1" applyAlignment="1">
      <alignment horizontal="left" vertical="center" wrapText="1"/>
    </xf>
    <xf numFmtId="0" fontId="3" fillId="0" borderId="0" xfId="0" applyFont="1" applyAlignment="1">
      <alignment vertical="center"/>
    </xf>
    <xf numFmtId="0" fontId="5" fillId="0" borderId="0" xfId="0" applyFont="1" applyAlignment="1"/>
    <xf numFmtId="0" fontId="5" fillId="0" borderId="0" xfId="0" applyFont="1" applyBorder="1" applyAlignment="1">
      <alignment horizontal="left" vertical="center" wrapText="1"/>
    </xf>
    <xf numFmtId="0" fontId="5" fillId="0" borderId="0" xfId="0" applyFont="1" applyBorder="1" applyAlignment="1">
      <alignment wrapText="1"/>
    </xf>
    <xf numFmtId="0" fontId="5" fillId="0" borderId="0" xfId="0" applyFont="1" applyBorder="1" applyAlignment="1">
      <alignment horizontal="center" wrapText="1"/>
    </xf>
    <xf numFmtId="0" fontId="5" fillId="0" borderId="6" xfId="0" applyFont="1" applyBorder="1" applyAlignment="1">
      <alignment horizontal="left" vertical="top" wrapText="1" indent="5"/>
    </xf>
    <xf numFmtId="0" fontId="5" fillId="0" borderId="20" xfId="0" applyFont="1" applyBorder="1" applyAlignment="1">
      <alignment horizontal="center" vertical="top" wrapText="1"/>
    </xf>
    <xf numFmtId="0" fontId="5" fillId="0" borderId="21" xfId="0" applyFont="1" applyBorder="1" applyAlignment="1">
      <alignment horizontal="center" vertical="top" wrapText="1"/>
    </xf>
    <xf numFmtId="0" fontId="4" fillId="0" borderId="11" xfId="0" applyFont="1" applyBorder="1" applyAlignment="1">
      <alignment horizontal="center" vertical="top" wrapText="1"/>
    </xf>
    <xf numFmtId="0" fontId="3" fillId="0" borderId="0" xfId="0" applyFont="1" applyBorder="1" applyAlignment="1">
      <alignment horizontal="left" indent="1"/>
    </xf>
    <xf numFmtId="0" fontId="5" fillId="0" borderId="6" xfId="0" applyFont="1" applyBorder="1" applyAlignment="1">
      <alignment horizontal="left" indent="2"/>
    </xf>
    <xf numFmtId="0" fontId="3" fillId="0" borderId="0" xfId="0" applyFont="1" applyBorder="1" applyAlignment="1">
      <alignment horizontal="left" indent="2"/>
    </xf>
    <xf numFmtId="0" fontId="5" fillId="0" borderId="0" xfId="0" applyFont="1" applyBorder="1" applyAlignment="1">
      <alignment horizontal="left" vertical="top" wrapText="1" indent="2"/>
    </xf>
    <xf numFmtId="0" fontId="5" fillId="0" borderId="6" xfId="0" quotePrefix="1" applyFont="1" applyBorder="1" applyAlignment="1">
      <alignment horizontal="left" indent="1"/>
    </xf>
    <xf numFmtId="0" fontId="5" fillId="0" borderId="1" xfId="0" applyFont="1" applyBorder="1" applyAlignment="1">
      <alignment horizontal="left" vertical="top" wrapText="1" indent="1"/>
    </xf>
    <xf numFmtId="0" fontId="12" fillId="0" borderId="1" xfId="0" applyFont="1" applyBorder="1" applyAlignment="1">
      <alignment horizontal="left" vertical="top" wrapText="1" indent="1"/>
    </xf>
    <xf numFmtId="0" fontId="3" fillId="0" borderId="1" xfId="0" applyFont="1" applyBorder="1" applyAlignment="1">
      <alignment horizontal="left" vertical="top" wrapText="1"/>
    </xf>
    <xf numFmtId="0" fontId="3" fillId="0" borderId="1" xfId="0" applyFont="1" applyBorder="1" applyAlignment="1">
      <alignment horizontal="left" vertical="top" wrapText="1" indent="1"/>
    </xf>
    <xf numFmtId="0" fontId="3" fillId="0" borderId="2" xfId="0" applyFont="1" applyBorder="1" applyAlignment="1">
      <alignment horizontal="left" vertical="top" wrapText="1"/>
    </xf>
    <xf numFmtId="0" fontId="5" fillId="0" borderId="10" xfId="0" applyFont="1" applyBorder="1" applyAlignment="1">
      <alignment horizontal="left" vertical="top" wrapText="1" indent="1"/>
    </xf>
    <xf numFmtId="0" fontId="12" fillId="0" borderId="10" xfId="0" applyFont="1" applyBorder="1" applyAlignment="1">
      <alignment horizontal="left" vertical="top" wrapText="1" indent="1"/>
    </xf>
    <xf numFmtId="0" fontId="4" fillId="0" borderId="7" xfId="0" applyFont="1" applyBorder="1" applyAlignment="1">
      <alignment horizontal="left" vertical="top" wrapText="1" indent="1"/>
    </xf>
    <xf numFmtId="0" fontId="5" fillId="0" borderId="14" xfId="0" applyFont="1" applyBorder="1" applyAlignment="1">
      <alignment horizontal="right" vertical="top" wrapText="1"/>
    </xf>
    <xf numFmtId="0" fontId="3" fillId="0" borderId="14" xfId="0" applyFont="1" applyBorder="1" applyAlignment="1">
      <alignment horizontal="right"/>
    </xf>
    <xf numFmtId="1" fontId="5" fillId="0" borderId="9" xfId="0" applyNumberFormat="1" applyFont="1" applyBorder="1" applyAlignment="1">
      <alignment horizontal="right" vertical="top" wrapText="1"/>
    </xf>
    <xf numFmtId="1" fontId="5" fillId="0" borderId="2" xfId="0" applyNumberFormat="1" applyFont="1" applyBorder="1" applyAlignment="1">
      <alignment horizontal="right" vertical="top" wrapText="1"/>
    </xf>
    <xf numFmtId="168" fontId="5" fillId="0" borderId="1" xfId="0" applyNumberFormat="1" applyFont="1" applyBorder="1" applyAlignment="1">
      <alignment horizontal="right" vertical="top" wrapText="1"/>
    </xf>
    <xf numFmtId="168" fontId="5" fillId="0" borderId="22" xfId="0" applyNumberFormat="1" applyFont="1" applyBorder="1" applyAlignment="1">
      <alignment horizontal="right" vertical="top" wrapText="1"/>
    </xf>
    <xf numFmtId="168" fontId="5" fillId="0" borderId="14" xfId="0" applyNumberFormat="1" applyFont="1" applyBorder="1" applyAlignment="1">
      <alignment horizontal="justify" vertical="top" wrapText="1"/>
    </xf>
    <xf numFmtId="0" fontId="5" fillId="0" borderId="6" xfId="0" applyFont="1" applyFill="1" applyBorder="1" applyAlignment="1">
      <alignment vertical="top" wrapText="1"/>
    </xf>
    <xf numFmtId="168" fontId="3" fillId="0" borderId="6" xfId="0" applyNumberFormat="1" applyFont="1" applyBorder="1"/>
    <xf numFmtId="168" fontId="3" fillId="0" borderId="0" xfId="0" applyNumberFormat="1" applyFont="1" applyFill="1" applyBorder="1" applyAlignment="1">
      <alignment horizontal="right" vertical="top" wrapText="1"/>
    </xf>
    <xf numFmtId="168" fontId="5" fillId="0" borderId="0" xfId="0" applyNumberFormat="1" applyFont="1" applyBorder="1" applyAlignment="1">
      <alignment horizontal="right" vertical="top" wrapText="1"/>
    </xf>
    <xf numFmtId="168" fontId="3" fillId="0" borderId="11" xfId="0" applyNumberFormat="1" applyFont="1" applyBorder="1"/>
    <xf numFmtId="168" fontId="3" fillId="0" borderId="3" xfId="0" applyNumberFormat="1" applyFont="1" applyBorder="1"/>
    <xf numFmtId="168" fontId="3" fillId="0" borderId="23" xfId="0" applyNumberFormat="1" applyFont="1" applyBorder="1"/>
    <xf numFmtId="168" fontId="3" fillId="0" borderId="1" xfId="0" applyNumberFormat="1" applyFont="1" applyBorder="1"/>
    <xf numFmtId="168" fontId="3" fillId="0" borderId="0" xfId="0" applyNumberFormat="1" applyFont="1" applyBorder="1"/>
    <xf numFmtId="168" fontId="3" fillId="0" borderId="14" xfId="0" applyNumberFormat="1" applyFont="1" applyBorder="1"/>
    <xf numFmtId="168" fontId="3" fillId="0" borderId="17" xfId="0" applyNumberFormat="1" applyFont="1" applyBorder="1"/>
    <xf numFmtId="168" fontId="3" fillId="0" borderId="2" xfId="0" applyNumberFormat="1" applyFont="1" applyBorder="1"/>
    <xf numFmtId="168" fontId="3" fillId="0" borderId="5" xfId="0" applyNumberFormat="1" applyFont="1" applyBorder="1"/>
    <xf numFmtId="168" fontId="3" fillId="0" borderId="10" xfId="0" applyNumberFormat="1" applyFont="1" applyBorder="1"/>
    <xf numFmtId="168" fontId="3" fillId="0" borderId="12" xfId="0" applyNumberFormat="1" applyFont="1" applyBorder="1"/>
    <xf numFmtId="168" fontId="3" fillId="0" borderId="13" xfId="0" applyNumberFormat="1" applyFont="1" applyBorder="1"/>
    <xf numFmtId="168" fontId="3" fillId="0" borderId="22" xfId="0" applyNumberFormat="1" applyFont="1" applyBorder="1"/>
    <xf numFmtId="168" fontId="21" fillId="0" borderId="6" xfId="0" applyNumberFormat="1" applyFont="1" applyFill="1" applyBorder="1"/>
    <xf numFmtId="168" fontId="0" fillId="0" borderId="0" xfId="0" applyNumberFormat="1"/>
    <xf numFmtId="168" fontId="4" fillId="0" borderId="14" xfId="0" applyNumberFormat="1" applyFont="1" applyBorder="1"/>
    <xf numFmtId="168" fontId="4" fillId="0" borderId="16" xfId="0" applyNumberFormat="1" applyFont="1" applyBorder="1"/>
    <xf numFmtId="168" fontId="4" fillId="0" borderId="6" xfId="0" applyNumberFormat="1" applyFont="1" applyBorder="1"/>
    <xf numFmtId="168" fontId="4" fillId="0" borderId="7" xfId="0" applyNumberFormat="1" applyFont="1" applyBorder="1" applyAlignment="1">
      <alignment horizontal="center"/>
    </xf>
    <xf numFmtId="168" fontId="4" fillId="0" borderId="2" xfId="0" applyNumberFormat="1" applyFont="1" applyBorder="1" applyAlignment="1">
      <alignment horizontal="center"/>
    </xf>
    <xf numFmtId="168" fontId="5" fillId="0" borderId="10" xfId="0" applyNumberFormat="1" applyFont="1" applyBorder="1"/>
    <xf numFmtId="168" fontId="5" fillId="0" borderId="12" xfId="0" applyNumberFormat="1" applyFont="1" applyBorder="1"/>
    <xf numFmtId="168" fontId="5" fillId="0" borderId="6" xfId="0" applyNumberFormat="1" applyFont="1" applyBorder="1"/>
    <xf numFmtId="168" fontId="5" fillId="0" borderId="1" xfId="0" applyNumberFormat="1" applyFont="1" applyBorder="1"/>
    <xf numFmtId="168" fontId="5" fillId="0" borderId="14" xfId="0" applyNumberFormat="1" applyFont="1" applyBorder="1"/>
    <xf numFmtId="168" fontId="5" fillId="0" borderId="2" xfId="0" applyNumberFormat="1" applyFont="1" applyBorder="1"/>
    <xf numFmtId="168" fontId="5" fillId="0" borderId="6" xfId="0" applyNumberFormat="1" applyFont="1" applyBorder="1" applyAlignment="1"/>
    <xf numFmtId="168" fontId="5" fillId="0" borderId="1" xfId="0" applyNumberFormat="1" applyFont="1" applyBorder="1" applyAlignment="1"/>
    <xf numFmtId="168" fontId="4" fillId="0" borderId="12" xfId="0" applyNumberFormat="1" applyFont="1" applyBorder="1"/>
    <xf numFmtId="168" fontId="5" fillId="0" borderId="0" xfId="0" applyNumberFormat="1" applyFont="1" applyBorder="1"/>
    <xf numFmtId="168" fontId="5" fillId="0" borderId="16" xfId="0" applyNumberFormat="1" applyFont="1" applyBorder="1"/>
    <xf numFmtId="168" fontId="5" fillId="0" borderId="9" xfId="0" applyNumberFormat="1" applyFont="1" applyBorder="1"/>
    <xf numFmtId="168" fontId="4" fillId="0" borderId="12" xfId="0" applyNumberFormat="1" applyFont="1" applyBorder="1" applyAlignment="1">
      <alignment horizontal="right"/>
    </xf>
    <xf numFmtId="168" fontId="4" fillId="2" borderId="7" xfId="0" applyNumberFormat="1" applyFont="1" applyFill="1" applyBorder="1" applyAlignment="1">
      <alignment horizontal="left"/>
    </xf>
    <xf numFmtId="168" fontId="3" fillId="0" borderId="9" xfId="0" applyNumberFormat="1" applyFont="1" applyBorder="1"/>
    <xf numFmtId="168" fontId="5" fillId="2" borderId="6" xfId="0" applyNumberFormat="1" applyFont="1" applyFill="1" applyBorder="1"/>
    <xf numFmtId="168" fontId="4" fillId="2" borderId="6" xfId="0" applyNumberFormat="1" applyFont="1" applyFill="1" applyBorder="1" applyAlignment="1">
      <alignment horizontal="center"/>
    </xf>
    <xf numFmtId="168" fontId="5" fillId="2" borderId="14" xfId="0" applyNumberFormat="1" applyFont="1" applyFill="1" applyBorder="1" applyAlignment="1">
      <alignment horizontal="center"/>
    </xf>
    <xf numFmtId="168" fontId="5" fillId="2" borderId="6" xfId="0" applyNumberFormat="1" applyFont="1" applyFill="1" applyBorder="1" applyAlignment="1">
      <alignment horizontal="center"/>
    </xf>
    <xf numFmtId="168" fontId="5" fillId="2" borderId="14" xfId="0" applyNumberFormat="1" applyFont="1" applyFill="1" applyBorder="1"/>
    <xf numFmtId="168" fontId="4" fillId="2" borderId="6" xfId="0" applyNumberFormat="1" applyFont="1" applyFill="1" applyBorder="1"/>
    <xf numFmtId="168" fontId="5" fillId="2" borderId="6" xfId="0" applyNumberFormat="1" applyFont="1" applyFill="1" applyBorder="1" applyAlignment="1"/>
    <xf numFmtId="168" fontId="4" fillId="2" borderId="7" xfId="0" applyNumberFormat="1" applyFont="1" applyFill="1" applyBorder="1" applyAlignment="1">
      <alignment horizontal="center"/>
    </xf>
    <xf numFmtId="168" fontId="8" fillId="2" borderId="6" xfId="0" applyNumberFormat="1" applyFont="1" applyFill="1" applyBorder="1"/>
    <xf numFmtId="168" fontId="5" fillId="2" borderId="4" xfId="0" applyNumberFormat="1" applyFont="1" applyFill="1" applyBorder="1" applyAlignment="1">
      <alignment horizontal="center"/>
    </xf>
    <xf numFmtId="168" fontId="3" fillId="0" borderId="15" xfId="0" applyNumberFormat="1" applyFont="1" applyBorder="1"/>
    <xf numFmtId="168" fontId="3" fillId="0" borderId="8" xfId="0" applyNumberFormat="1" applyFont="1" applyBorder="1"/>
    <xf numFmtId="0" fontId="5" fillId="0" borderId="0" xfId="0" applyFont="1" applyBorder="1" applyAlignment="1">
      <alignment horizontal="center" vertical="top" wrapText="1"/>
    </xf>
    <xf numFmtId="0" fontId="3" fillId="0" borderId="0" xfId="0" applyFont="1" applyBorder="1" applyAlignment="1">
      <alignment horizontal="right"/>
    </xf>
    <xf numFmtId="0" fontId="4" fillId="0" borderId="8" xfId="0" applyFont="1" applyBorder="1" applyAlignment="1"/>
    <xf numFmtId="0" fontId="4" fillId="0" borderId="5" xfId="0" applyFont="1" applyBorder="1" applyAlignment="1">
      <alignment horizontal="center"/>
    </xf>
    <xf numFmtId="168" fontId="4" fillId="0" borderId="14" xfId="0" applyNumberFormat="1" applyFont="1" applyBorder="1" applyAlignment="1">
      <alignment horizontal="center"/>
    </xf>
    <xf numFmtId="168" fontId="4" fillId="0" borderId="2" xfId="0" applyNumberFormat="1" applyFont="1" applyBorder="1"/>
    <xf numFmtId="0" fontId="5" fillId="0" borderId="11" xfId="0" applyFont="1" applyBorder="1"/>
    <xf numFmtId="0" fontId="4" fillId="0" borderId="11" xfId="0" applyFont="1" applyBorder="1" applyAlignment="1"/>
    <xf numFmtId="0" fontId="6" fillId="0" borderId="3" xfId="0" applyFont="1" applyBorder="1"/>
    <xf numFmtId="168" fontId="4" fillId="0" borderId="0" xfId="0" applyNumberFormat="1" applyFont="1" applyBorder="1"/>
    <xf numFmtId="168" fontId="4" fillId="0" borderId="1" xfId="0" applyNumberFormat="1" applyFont="1" applyBorder="1"/>
    <xf numFmtId="0" fontId="4" fillId="0" borderId="7" xfId="0" applyFont="1" applyBorder="1"/>
    <xf numFmtId="168" fontId="4" fillId="0" borderId="9" xfId="0" applyNumberFormat="1" applyFont="1" applyBorder="1"/>
    <xf numFmtId="0" fontId="6" fillId="0" borderId="6" xfId="0" applyFont="1" applyBorder="1"/>
    <xf numFmtId="168" fontId="3" fillId="0" borderId="0" xfId="0" applyNumberFormat="1" applyFont="1"/>
    <xf numFmtId="168" fontId="5" fillId="0" borderId="14" xfId="0" applyNumberFormat="1" applyFont="1" applyBorder="1" applyAlignment="1">
      <alignment horizontal="center"/>
    </xf>
    <xf numFmtId="168" fontId="5" fillId="0" borderId="7" xfId="0" applyNumberFormat="1" applyFont="1" applyBorder="1" applyAlignment="1">
      <alignment horizontal="center"/>
    </xf>
    <xf numFmtId="168" fontId="5" fillId="0" borderId="2" xfId="0" applyNumberFormat="1" applyFont="1" applyBorder="1" applyAlignment="1">
      <alignment horizontal="center"/>
    </xf>
    <xf numFmtId="168" fontId="5" fillId="0" borderId="7" xfId="0" applyNumberFormat="1" applyFont="1" applyBorder="1" applyAlignment="1">
      <alignment vertical="top"/>
    </xf>
    <xf numFmtId="0" fontId="5" fillId="0" borderId="10" xfId="0" applyFont="1" applyBorder="1" applyAlignment="1">
      <alignment horizontal="center" vertical="top" wrapText="1"/>
    </xf>
    <xf numFmtId="0" fontId="5" fillId="0" borderId="13" xfId="0" applyFont="1" applyBorder="1" applyAlignment="1">
      <alignment horizontal="center" vertical="top" wrapText="1"/>
    </xf>
    <xf numFmtId="0" fontId="5" fillId="0" borderId="24" xfId="0" applyFont="1" applyBorder="1" applyAlignment="1">
      <alignment horizontal="left" vertical="top" wrapText="1"/>
    </xf>
    <xf numFmtId="0" fontId="5" fillId="0" borderId="3" xfId="0" quotePrefix="1" applyFont="1" applyBorder="1" applyAlignment="1">
      <alignment horizontal="justify" vertical="top" wrapText="1"/>
    </xf>
    <xf numFmtId="0" fontId="5" fillId="0" borderId="7" xfId="0" applyFont="1" applyBorder="1" applyAlignment="1">
      <alignment wrapText="1"/>
    </xf>
    <xf numFmtId="14" fontId="5" fillId="0" borderId="7" xfId="0" applyNumberFormat="1" applyFont="1" applyBorder="1" applyAlignment="1">
      <alignment horizontal="center" wrapText="1"/>
    </xf>
    <xf numFmtId="0" fontId="5" fillId="0" borderId="1" xfId="0" applyFont="1" applyBorder="1" applyAlignment="1">
      <alignment horizontal="center" vertical="top" wrapText="1"/>
    </xf>
    <xf numFmtId="0" fontId="5" fillId="0" borderId="6" xfId="0" applyFont="1" applyBorder="1" applyAlignment="1">
      <alignment horizontal="center" vertical="top" wrapText="1"/>
    </xf>
    <xf numFmtId="0" fontId="4" fillId="0" borderId="11" xfId="0" applyFont="1" applyBorder="1" applyAlignment="1">
      <alignment vertical="top" wrapText="1"/>
    </xf>
    <xf numFmtId="0" fontId="4" fillId="0" borderId="11" xfId="0" applyFont="1" applyBorder="1" applyAlignment="1">
      <alignment wrapText="1"/>
    </xf>
    <xf numFmtId="168" fontId="16" fillId="0" borderId="0" xfId="0" applyNumberFormat="1" applyFont="1"/>
    <xf numFmtId="168" fontId="3" fillId="0" borderId="0" xfId="0" applyNumberFormat="1" applyFont="1" applyAlignment="1">
      <alignment horizontal="right"/>
    </xf>
    <xf numFmtId="168" fontId="4" fillId="0" borderId="0" xfId="0" applyNumberFormat="1" applyFont="1" applyAlignment="1">
      <alignment horizontal="justify"/>
    </xf>
    <xf numFmtId="168" fontId="17" fillId="0" borderId="0" xfId="0" applyNumberFormat="1" applyFont="1"/>
    <xf numFmtId="168" fontId="5" fillId="0" borderId="9" xfId="0" applyNumberFormat="1" applyFont="1" applyBorder="1" applyAlignment="1">
      <alignment horizontal="center" vertical="top" wrapText="1"/>
    </xf>
    <xf numFmtId="168" fontId="4" fillId="0" borderId="8" xfId="0" applyNumberFormat="1" applyFont="1" applyBorder="1" applyAlignment="1">
      <alignment vertical="top" wrapText="1"/>
    </xf>
    <xf numFmtId="168" fontId="4" fillId="0" borderId="2" xfId="0" applyNumberFormat="1" applyFont="1" applyBorder="1" applyAlignment="1">
      <alignment vertical="top" wrapText="1"/>
    </xf>
    <xf numFmtId="168" fontId="5" fillId="0" borderId="4" xfId="0" applyNumberFormat="1" applyFont="1" applyBorder="1" applyAlignment="1">
      <alignment horizontal="right" vertical="top" wrapText="1"/>
    </xf>
    <xf numFmtId="168" fontId="5" fillId="0" borderId="9" xfId="0" applyNumberFormat="1" applyFont="1" applyBorder="1" applyAlignment="1">
      <alignment horizontal="right" vertical="top" wrapText="1"/>
    </xf>
    <xf numFmtId="168" fontId="3" fillId="0" borderId="3" xfId="0" applyNumberFormat="1" applyFont="1" applyBorder="1" applyAlignment="1">
      <alignment horizontal="right"/>
    </xf>
    <xf numFmtId="168" fontId="3" fillId="0" borderId="1" xfId="0" applyNumberFormat="1" applyFont="1" applyBorder="1" applyAlignment="1">
      <alignment horizontal="right"/>
    </xf>
    <xf numFmtId="168" fontId="5" fillId="0" borderId="6" xfId="0" applyNumberFormat="1" applyFont="1" applyBorder="1" applyAlignment="1">
      <alignment horizontal="justify" vertical="top" wrapText="1"/>
    </xf>
    <xf numFmtId="168" fontId="5" fillId="0" borderId="8" xfId="0" applyNumberFormat="1" applyFont="1" applyBorder="1" applyAlignment="1">
      <alignment horizontal="right" vertical="top" wrapText="1"/>
    </xf>
    <xf numFmtId="168" fontId="5" fillId="0" borderId="2" xfId="0" applyNumberFormat="1" applyFont="1" applyBorder="1" applyAlignment="1">
      <alignment horizontal="right" vertical="top" wrapText="1"/>
    </xf>
    <xf numFmtId="168" fontId="5" fillId="0" borderId="0" xfId="0" applyNumberFormat="1" applyFont="1" applyAlignment="1">
      <alignment horizontal="left"/>
    </xf>
    <xf numFmtId="168" fontId="3" fillId="0" borderId="0" xfId="0" applyNumberFormat="1" applyFont="1" applyAlignment="1">
      <alignment horizontal="left"/>
    </xf>
    <xf numFmtId="168" fontId="5" fillId="0" borderId="7" xfId="0" applyNumberFormat="1" applyFont="1" applyBorder="1" applyAlignment="1">
      <alignment horizontal="justify" vertical="top" wrapText="1"/>
    </xf>
    <xf numFmtId="168" fontId="3" fillId="0" borderId="16" xfId="0" applyNumberFormat="1" applyFont="1" applyBorder="1"/>
    <xf numFmtId="168" fontId="3" fillId="0" borderId="4" xfId="0" applyNumberFormat="1" applyFont="1" applyBorder="1"/>
    <xf numFmtId="168" fontId="4" fillId="0" borderId="0" xfId="0" applyNumberFormat="1" applyFont="1"/>
    <xf numFmtId="168" fontId="5" fillId="0" borderId="4" xfId="0" applyNumberFormat="1" applyFont="1" applyBorder="1" applyAlignment="1">
      <alignment horizontal="center" vertical="top" wrapText="1"/>
    </xf>
    <xf numFmtId="168" fontId="5" fillId="0" borderId="3" xfId="0" applyNumberFormat="1" applyFont="1" applyBorder="1" applyAlignment="1">
      <alignment horizontal="justify" vertical="top" wrapText="1"/>
    </xf>
    <xf numFmtId="168" fontId="5" fillId="0" borderId="8" xfId="0" applyNumberFormat="1" applyFont="1" applyBorder="1" applyAlignment="1">
      <alignment horizontal="justify" vertical="top" wrapText="1"/>
    </xf>
    <xf numFmtId="168" fontId="3" fillId="0" borderId="7" xfId="0" applyNumberFormat="1" applyFont="1" applyBorder="1"/>
    <xf numFmtId="168" fontId="4" fillId="0" borderId="10" xfId="0" applyNumberFormat="1" applyFont="1" applyBorder="1" applyAlignment="1">
      <alignment horizontal="left" vertical="top" wrapText="1" indent="2"/>
    </xf>
    <xf numFmtId="168" fontId="3" fillId="0" borderId="0" xfId="0" applyNumberFormat="1" applyFont="1" applyBorder="1" applyAlignment="1">
      <alignment horizontal="right"/>
    </xf>
    <xf numFmtId="168" fontId="12" fillId="0" borderId="6" xfId="0" applyNumberFormat="1" applyFont="1" applyBorder="1" applyAlignment="1">
      <alignment horizontal="left" vertical="top" wrapText="1" indent="2"/>
    </xf>
    <xf numFmtId="168" fontId="5" fillId="0" borderId="6" xfId="0" applyNumberFormat="1" applyFont="1" applyBorder="1" applyAlignment="1">
      <alignment horizontal="left" vertical="top" wrapText="1" indent="4"/>
    </xf>
    <xf numFmtId="168" fontId="3" fillId="0" borderId="14" xfId="0" applyNumberFormat="1" applyFont="1" applyBorder="1" applyAlignment="1">
      <alignment horizontal="right"/>
    </xf>
    <xf numFmtId="168" fontId="5" fillId="0" borderId="6" xfId="0" applyNumberFormat="1" applyFont="1" applyBorder="1" applyAlignment="1">
      <alignment horizontal="left" vertical="top" wrapText="1" indent="2"/>
    </xf>
    <xf numFmtId="168" fontId="4" fillId="0" borderId="6" xfId="0" applyNumberFormat="1" applyFont="1" applyBorder="1" applyAlignment="1">
      <alignment horizontal="left" vertical="top" wrapText="1" indent="2"/>
    </xf>
    <xf numFmtId="168" fontId="4" fillId="0" borderId="6" xfId="0" applyNumberFormat="1" applyFont="1" applyBorder="1" applyAlignment="1">
      <alignment vertical="top" wrapText="1"/>
    </xf>
    <xf numFmtId="168" fontId="3" fillId="0" borderId="6" xfId="0" applyNumberFormat="1" applyFont="1" applyBorder="1" applyAlignment="1">
      <alignment horizontal="right"/>
    </xf>
    <xf numFmtId="168" fontId="4" fillId="0" borderId="14" xfId="0" applyNumberFormat="1" applyFont="1" applyBorder="1" applyAlignment="1">
      <alignment horizontal="justify" vertical="top" wrapText="1"/>
    </xf>
    <xf numFmtId="168" fontId="3" fillId="0" borderId="7" xfId="0" applyNumberFormat="1" applyFont="1" applyBorder="1" applyAlignment="1">
      <alignment horizontal="right"/>
    </xf>
    <xf numFmtId="168" fontId="5" fillId="0" borderId="10" xfId="0" applyNumberFormat="1" applyFont="1" applyBorder="1" applyAlignment="1">
      <alignment horizontal="justify" vertical="top" wrapText="1"/>
    </xf>
    <xf numFmtId="168" fontId="5" fillId="0" borderId="1" xfId="0" applyNumberFormat="1" applyFont="1" applyBorder="1" applyAlignment="1">
      <alignment horizontal="justify" vertical="top" wrapText="1"/>
    </xf>
    <xf numFmtId="168" fontId="5" fillId="0" borderId="10" xfId="0" applyNumberFormat="1" applyFont="1" applyBorder="1" applyAlignment="1">
      <alignment horizontal="right" vertical="top" wrapText="1"/>
    </xf>
    <xf numFmtId="168" fontId="5" fillId="0" borderId="6" xfId="0" applyNumberFormat="1" applyFont="1" applyBorder="1" applyAlignment="1">
      <alignment horizontal="right" vertical="top" wrapText="1"/>
    </xf>
    <xf numFmtId="168" fontId="5" fillId="0" borderId="14" xfId="0" applyNumberFormat="1" applyFont="1" applyBorder="1" applyAlignment="1">
      <alignment horizontal="right" vertical="top" wrapText="1"/>
    </xf>
    <xf numFmtId="168" fontId="5" fillId="0" borderId="12" xfId="0" applyNumberFormat="1" applyFont="1" applyBorder="1" applyAlignment="1">
      <alignment horizontal="justify" vertical="top" wrapText="1"/>
    </xf>
    <xf numFmtId="168" fontId="5" fillId="0" borderId="13" xfId="0" applyNumberFormat="1" applyFont="1" applyBorder="1" applyAlignment="1">
      <alignment horizontal="justify" vertical="top" wrapText="1"/>
    </xf>
    <xf numFmtId="168" fontId="5" fillId="0" borderId="13" xfId="0" applyNumberFormat="1" applyFont="1" applyBorder="1" applyAlignment="1">
      <alignment horizontal="right" vertical="top" wrapText="1"/>
    </xf>
    <xf numFmtId="168" fontId="4" fillId="0" borderId="6" xfId="0" applyNumberFormat="1" applyFont="1" applyBorder="1" applyAlignment="1">
      <alignment horizontal="justify" vertical="top" wrapText="1"/>
    </xf>
    <xf numFmtId="168" fontId="5" fillId="0" borderId="0" xfId="0" applyNumberFormat="1" applyFont="1" applyBorder="1" applyAlignment="1">
      <alignment horizontal="justify" vertical="top" wrapText="1"/>
    </xf>
    <xf numFmtId="168" fontId="12" fillId="0" borderId="6" xfId="0" applyNumberFormat="1" applyFont="1" applyBorder="1" applyAlignment="1">
      <alignment vertical="top" wrapText="1"/>
    </xf>
    <xf numFmtId="168" fontId="5" fillId="0" borderId="5" xfId="0" applyNumberFormat="1" applyFont="1" applyBorder="1" applyAlignment="1">
      <alignment horizontal="justify" vertical="top" wrapText="1"/>
    </xf>
    <xf numFmtId="168" fontId="5" fillId="0" borderId="5" xfId="0" applyNumberFormat="1" applyFont="1" applyBorder="1" applyAlignment="1">
      <alignment horizontal="right" vertical="top" wrapText="1"/>
    </xf>
    <xf numFmtId="168" fontId="5" fillId="0" borderId="6" xfId="0" applyNumberFormat="1" applyFont="1" applyBorder="1" applyAlignment="1">
      <alignment horizontal="left" vertical="top" wrapText="1" indent="1"/>
    </xf>
    <xf numFmtId="168" fontId="4" fillId="0" borderId="7" xfId="0" applyNumberFormat="1" applyFont="1" applyBorder="1" applyAlignment="1">
      <alignment horizontal="justify" vertical="top" wrapText="1"/>
    </xf>
    <xf numFmtId="168" fontId="5" fillId="0" borderId="16" xfId="0" applyNumberFormat="1" applyFont="1" applyBorder="1" applyAlignment="1">
      <alignment horizontal="justify" vertical="top" wrapText="1"/>
    </xf>
    <xf numFmtId="168" fontId="5" fillId="0" borderId="16" xfId="0" applyNumberFormat="1" applyFont="1" applyBorder="1" applyAlignment="1">
      <alignment horizontal="right" vertical="top" wrapText="1"/>
    </xf>
    <xf numFmtId="168" fontId="4" fillId="0" borderId="19" xfId="0" applyNumberFormat="1" applyFont="1" applyBorder="1" applyAlignment="1">
      <alignment horizontal="justify" vertical="top" wrapText="1"/>
    </xf>
    <xf numFmtId="168" fontId="3" fillId="0" borderId="18" xfId="0" applyNumberFormat="1" applyFont="1" applyBorder="1"/>
    <xf numFmtId="168" fontId="5" fillId="0" borderId="19" xfId="0" applyNumberFormat="1" applyFont="1" applyBorder="1" applyAlignment="1">
      <alignment horizontal="justify" vertical="top" wrapText="1"/>
    </xf>
    <xf numFmtId="168" fontId="5" fillId="0" borderId="19" xfId="0" applyNumberFormat="1" applyFont="1" applyBorder="1" applyAlignment="1">
      <alignment horizontal="right" vertical="top" wrapText="1"/>
    </xf>
    <xf numFmtId="168" fontId="3" fillId="0" borderId="4" xfId="0" applyNumberFormat="1" applyFont="1" applyBorder="1" applyAlignment="1">
      <alignment horizontal="center"/>
    </xf>
    <xf numFmtId="168" fontId="5" fillId="0" borderId="6" xfId="0" applyNumberFormat="1" applyFont="1" applyBorder="1" applyAlignment="1">
      <alignment horizontal="left" vertical="top" wrapText="1"/>
    </xf>
    <xf numFmtId="168" fontId="5" fillId="0" borderId="14" xfId="0" applyNumberFormat="1" applyFont="1" applyBorder="1" applyAlignment="1">
      <alignment horizontal="center" vertical="top" wrapText="1"/>
    </xf>
    <xf numFmtId="168" fontId="3" fillId="0" borderId="7" xfId="0" applyNumberFormat="1" applyFont="1" applyBorder="1" applyAlignment="1">
      <alignment horizontal="center"/>
    </xf>
    <xf numFmtId="168" fontId="4" fillId="0" borderId="10" xfId="0" applyNumberFormat="1" applyFont="1" applyBorder="1" applyAlignment="1">
      <alignment horizontal="justify" vertical="top" wrapText="1"/>
    </xf>
    <xf numFmtId="168" fontId="12" fillId="0" borderId="6" xfId="0" applyNumberFormat="1" applyFont="1" applyBorder="1" applyAlignment="1">
      <alignment horizontal="left" vertical="top" wrapText="1" indent="1"/>
    </xf>
    <xf numFmtId="168" fontId="3" fillId="0" borderId="0" xfId="0" applyNumberFormat="1" applyFont="1" applyBorder="1" applyAlignment="1">
      <alignment horizontal="right" vertical="top" wrapText="1"/>
    </xf>
    <xf numFmtId="168" fontId="5" fillId="0" borderId="6" xfId="0" applyNumberFormat="1" applyFont="1" applyFill="1" applyBorder="1" applyAlignment="1">
      <alignment vertical="top" wrapText="1"/>
    </xf>
    <xf numFmtId="168" fontId="3" fillId="0" borderId="14" xfId="0" applyNumberFormat="1" applyFont="1" applyBorder="1" applyAlignment="1">
      <alignment horizontal="justify" vertical="top" wrapText="1"/>
    </xf>
    <xf numFmtId="168" fontId="3" fillId="0" borderId="0" xfId="0" applyNumberFormat="1" applyFont="1" applyBorder="1" applyAlignment="1">
      <alignment horizontal="justify" vertical="top" wrapText="1"/>
    </xf>
    <xf numFmtId="168" fontId="12" fillId="0" borderId="6" xfId="0" applyNumberFormat="1" applyFont="1" applyBorder="1" applyAlignment="1">
      <alignment horizontal="justify" vertical="top" wrapText="1"/>
    </xf>
    <xf numFmtId="168" fontId="3" fillId="0" borderId="10" xfId="0" applyNumberFormat="1" applyFont="1" applyBorder="1" applyAlignment="1">
      <alignment horizontal="right"/>
    </xf>
    <xf numFmtId="168" fontId="3" fillId="0" borderId="5" xfId="0" applyNumberFormat="1" applyFont="1" applyBorder="1" applyAlignment="1">
      <alignment horizontal="right"/>
    </xf>
    <xf numFmtId="168" fontId="3" fillId="0" borderId="0" xfId="0" applyNumberFormat="1" applyFont="1" applyAlignment="1">
      <alignment horizontal="left" vertical="top" wrapText="1"/>
    </xf>
    <xf numFmtId="168" fontId="4" fillId="0" borderId="7" xfId="0" applyNumberFormat="1" applyFont="1" applyBorder="1" applyAlignment="1">
      <alignment horizontal="left" vertical="top" wrapText="1"/>
    </xf>
    <xf numFmtId="168" fontId="4" fillId="0" borderId="10" xfId="0" applyNumberFormat="1" applyFont="1" applyBorder="1" applyAlignment="1">
      <alignment horizontal="left" vertical="top" wrapText="1"/>
    </xf>
    <xf numFmtId="168" fontId="3" fillId="0" borderId="10" xfId="0" applyNumberFormat="1" applyFont="1" applyBorder="1" applyAlignment="1">
      <alignment horizontal="left" vertical="top" wrapText="1"/>
    </xf>
    <xf numFmtId="168" fontId="5" fillId="0" borderId="13" xfId="0" applyNumberFormat="1" applyFont="1" applyBorder="1" applyAlignment="1">
      <alignment horizontal="left" vertical="top" wrapText="1"/>
    </xf>
    <xf numFmtId="168" fontId="5" fillId="0" borderId="10" xfId="0" applyNumberFormat="1" applyFont="1" applyBorder="1" applyAlignment="1">
      <alignment horizontal="left" vertical="top" wrapText="1"/>
    </xf>
    <xf numFmtId="168" fontId="5" fillId="0" borderId="12" xfId="0" applyNumberFormat="1" applyFont="1" applyBorder="1" applyAlignment="1">
      <alignment horizontal="left" vertical="top" wrapText="1"/>
    </xf>
    <xf numFmtId="168" fontId="4" fillId="0" borderId="6" xfId="0" applyNumberFormat="1" applyFont="1" applyBorder="1" applyAlignment="1">
      <alignment horizontal="left" vertical="top" wrapText="1"/>
    </xf>
    <xf numFmtId="168" fontId="3" fillId="0" borderId="6" xfId="0" applyNumberFormat="1" applyFont="1" applyBorder="1" applyAlignment="1">
      <alignment horizontal="right" wrapText="1"/>
    </xf>
    <xf numFmtId="168" fontId="5" fillId="0" borderId="0" xfId="0" applyNumberFormat="1" applyFont="1" applyBorder="1" applyAlignment="1">
      <alignment horizontal="right" wrapText="1"/>
    </xf>
    <xf numFmtId="168" fontId="5" fillId="0" borderId="6" xfId="0" applyNumberFormat="1" applyFont="1" applyBorder="1" applyAlignment="1">
      <alignment horizontal="right" wrapText="1"/>
    </xf>
    <xf numFmtId="168" fontId="5" fillId="0" borderId="1" xfId="0" applyNumberFormat="1" applyFont="1" applyBorder="1" applyAlignment="1">
      <alignment horizontal="right" wrapText="1"/>
    </xf>
    <xf numFmtId="168" fontId="11" fillId="0" borderId="6" xfId="0" applyNumberFormat="1" applyFont="1" applyBorder="1" applyAlignment="1">
      <alignment horizontal="left" vertical="top" wrapText="1" indent="1"/>
    </xf>
    <xf numFmtId="168" fontId="3" fillId="0" borderId="14" xfId="0" applyNumberFormat="1" applyFont="1" applyBorder="1" applyAlignment="1">
      <alignment horizontal="right" wrapText="1"/>
    </xf>
    <xf numFmtId="168" fontId="5" fillId="0" borderId="14" xfId="0" applyNumberFormat="1" applyFont="1" applyBorder="1" applyAlignment="1">
      <alignment horizontal="right" wrapText="1"/>
    </xf>
    <xf numFmtId="168" fontId="11" fillId="0" borderId="6" xfId="0" applyNumberFormat="1" applyFont="1" applyBorder="1" applyAlignment="1">
      <alignment horizontal="left" vertical="top" wrapText="1"/>
    </xf>
    <xf numFmtId="168" fontId="5" fillId="0" borderId="6" xfId="0" quotePrefix="1" applyNumberFormat="1" applyFont="1" applyBorder="1" applyAlignment="1">
      <alignment horizontal="left" vertical="top" wrapText="1" indent="1"/>
    </xf>
    <xf numFmtId="168" fontId="5" fillId="0" borderId="18" xfId="0" applyNumberFormat="1" applyFont="1" applyBorder="1" applyAlignment="1">
      <alignment horizontal="right" wrapText="1"/>
    </xf>
    <xf numFmtId="168" fontId="5" fillId="0" borderId="22" xfId="0" applyNumberFormat="1" applyFont="1" applyBorder="1" applyAlignment="1">
      <alignment horizontal="right" wrapText="1"/>
    </xf>
    <xf numFmtId="168" fontId="5" fillId="0" borderId="0" xfId="0" applyNumberFormat="1" applyFont="1" applyAlignment="1"/>
    <xf numFmtId="168" fontId="5" fillId="0" borderId="0" xfId="0" applyNumberFormat="1" applyFont="1" applyAlignment="1">
      <alignment horizontal="right"/>
    </xf>
    <xf numFmtId="168" fontId="5" fillId="0" borderId="4" xfId="0" applyNumberFormat="1" applyFont="1" applyBorder="1" applyAlignment="1">
      <alignment horizontal="left" vertical="center" wrapText="1"/>
    </xf>
    <xf numFmtId="168" fontId="3" fillId="0" borderId="0" xfId="0" applyNumberFormat="1" applyFont="1" applyAlignment="1">
      <alignment vertical="center"/>
    </xf>
    <xf numFmtId="168" fontId="5" fillId="0" borderId="20" xfId="0" applyNumberFormat="1" applyFont="1" applyBorder="1" applyAlignment="1">
      <alignment horizontal="center" vertical="top" wrapText="1"/>
    </xf>
    <xf numFmtId="168" fontId="5" fillId="0" borderId="21" xfId="0" applyNumberFormat="1" applyFont="1" applyBorder="1" applyAlignment="1">
      <alignment horizontal="center" vertical="top" wrapText="1"/>
    </xf>
    <xf numFmtId="168" fontId="5" fillId="0" borderId="0" xfId="0" applyNumberFormat="1" applyFont="1" applyBorder="1" applyAlignment="1">
      <alignment horizontal="left" vertical="center" wrapText="1"/>
    </xf>
    <xf numFmtId="168" fontId="5" fillId="0" borderId="11" xfId="0" applyNumberFormat="1" applyFont="1" applyBorder="1" applyAlignment="1">
      <alignment vertical="top" wrapText="1"/>
    </xf>
    <xf numFmtId="168" fontId="5" fillId="0" borderId="0" xfId="0" applyNumberFormat="1" applyFont="1" applyBorder="1" applyAlignment="1">
      <alignment wrapText="1"/>
    </xf>
    <xf numFmtId="168" fontId="5" fillId="0" borderId="3" xfId="0" applyNumberFormat="1" applyFont="1" applyBorder="1" applyAlignment="1">
      <alignment vertical="top" wrapText="1"/>
    </xf>
    <xf numFmtId="168" fontId="5" fillId="0" borderId="0" xfId="0" applyNumberFormat="1" applyFont="1" applyBorder="1" applyAlignment="1">
      <alignment horizontal="center" wrapText="1"/>
    </xf>
    <xf numFmtId="168" fontId="11" fillId="0" borderId="6" xfId="0" applyNumberFormat="1" applyFont="1" applyBorder="1" applyAlignment="1">
      <alignment horizontal="justify" vertical="top" wrapText="1"/>
    </xf>
    <xf numFmtId="168" fontId="12" fillId="0" borderId="1" xfId="0" applyNumberFormat="1" applyFont="1" applyBorder="1" applyAlignment="1">
      <alignment horizontal="justify" vertical="top" wrapText="1"/>
    </xf>
    <xf numFmtId="168" fontId="12" fillId="0" borderId="6" xfId="0" applyNumberFormat="1" applyFont="1" applyBorder="1" applyAlignment="1">
      <alignment horizontal="right" vertical="top" wrapText="1"/>
    </xf>
    <xf numFmtId="168" fontId="4" fillId="0" borderId="7" xfId="0" applyNumberFormat="1" applyFont="1" applyBorder="1" applyAlignment="1">
      <alignment horizontal="justify"/>
    </xf>
    <xf numFmtId="168" fontId="11" fillId="0" borderId="0" xfId="0" applyNumberFormat="1" applyFont="1" applyAlignment="1">
      <alignment horizontal="justify"/>
    </xf>
    <xf numFmtId="168" fontId="12" fillId="0" borderId="6" xfId="0" applyNumberFormat="1" applyFont="1" applyBorder="1" applyAlignment="1">
      <alignment horizontal="left" vertical="top" wrapText="1"/>
    </xf>
    <xf numFmtId="168" fontId="4" fillId="0" borderId="11" xfId="0" applyNumberFormat="1" applyFont="1" applyBorder="1" applyAlignment="1">
      <alignment horizontal="center" vertical="top" wrapText="1"/>
    </xf>
    <xf numFmtId="168" fontId="5" fillId="0" borderId="6" xfId="0" applyNumberFormat="1" applyFont="1" applyBorder="1" applyAlignment="1">
      <alignment vertical="top" wrapText="1"/>
    </xf>
    <xf numFmtId="168" fontId="3" fillId="0" borderId="11" xfId="0" applyNumberFormat="1" applyFont="1" applyBorder="1" applyAlignment="1">
      <alignment horizontal="right"/>
    </xf>
    <xf numFmtId="168" fontId="3" fillId="0" borderId="8" xfId="0" applyNumberFormat="1" applyFont="1" applyBorder="1" applyAlignment="1">
      <alignment horizontal="right"/>
    </xf>
    <xf numFmtId="168" fontId="4" fillId="0" borderId="7" xfId="0" applyNumberFormat="1" applyFont="1" applyBorder="1" applyAlignment="1">
      <alignment vertical="top" wrapText="1"/>
    </xf>
    <xf numFmtId="168" fontId="15" fillId="0" borderId="10" xfId="0" applyNumberFormat="1" applyFont="1" applyBorder="1" applyAlignment="1">
      <alignment horizontal="justify" vertical="top" wrapText="1"/>
    </xf>
    <xf numFmtId="168" fontId="3" fillId="0" borderId="13" xfId="0" applyNumberFormat="1" applyFont="1" applyBorder="1" applyAlignment="1">
      <alignment horizontal="right"/>
    </xf>
    <xf numFmtId="168" fontId="5" fillId="0" borderId="6" xfId="0" applyNumberFormat="1" applyFont="1" applyBorder="1" applyAlignment="1">
      <alignment horizontal="justify"/>
    </xf>
    <xf numFmtId="168" fontId="5" fillId="0" borderId="6" xfId="0" quotePrefix="1" applyNumberFormat="1" applyFont="1" applyBorder="1" applyAlignment="1">
      <alignment horizontal="left" indent="1"/>
    </xf>
    <xf numFmtId="168" fontId="5" fillId="0" borderId="6" xfId="0" applyNumberFormat="1" applyFont="1" applyBorder="1" applyAlignment="1">
      <alignment horizontal="left" indent="2"/>
    </xf>
    <xf numFmtId="168" fontId="3" fillId="0" borderId="0" xfId="0" applyNumberFormat="1" applyFont="1" applyBorder="1" applyAlignment="1">
      <alignment horizontal="left" indent="2"/>
    </xf>
    <xf numFmtId="168" fontId="5" fillId="0" borderId="0" xfId="0" applyNumberFormat="1" applyFont="1" applyBorder="1" applyAlignment="1">
      <alignment horizontal="left" vertical="top" wrapText="1" indent="2"/>
    </xf>
    <xf numFmtId="168" fontId="3" fillId="0" borderId="0" xfId="0" applyNumberFormat="1" applyFont="1" applyBorder="1" applyAlignment="1">
      <alignment horizontal="left" indent="1"/>
    </xf>
    <xf numFmtId="168" fontId="4" fillId="0" borderId="6" xfId="0" applyNumberFormat="1" applyFont="1" applyBorder="1" applyAlignment="1">
      <alignment horizontal="left" vertical="top" wrapText="1" indent="1"/>
    </xf>
    <xf numFmtId="168" fontId="3" fillId="0" borderId="1" xfId="0" applyNumberFormat="1" applyFont="1" applyBorder="1" applyAlignment="1">
      <alignment horizontal="left" vertical="top" wrapText="1"/>
    </xf>
    <xf numFmtId="168" fontId="11" fillId="0" borderId="6" xfId="0" applyNumberFormat="1" applyFont="1" applyBorder="1" applyAlignment="1">
      <alignment horizontal="left" vertical="top" wrapText="1" indent="2"/>
    </xf>
    <xf numFmtId="168" fontId="5" fillId="0" borderId="1" xfId="0" applyNumberFormat="1" applyFont="1" applyBorder="1" applyAlignment="1">
      <alignment horizontal="left" vertical="top" wrapText="1" indent="1"/>
    </xf>
    <xf numFmtId="168" fontId="3" fillId="0" borderId="1" xfId="0" applyNumberFormat="1" applyFont="1" applyBorder="1" applyAlignment="1">
      <alignment horizontal="left" vertical="top" wrapText="1" indent="1"/>
    </xf>
    <xf numFmtId="168" fontId="5" fillId="0" borderId="6" xfId="0" applyNumberFormat="1" applyFont="1" applyBorder="1" applyAlignment="1">
      <alignment horizontal="left" vertical="top" wrapText="1" indent="3"/>
    </xf>
    <xf numFmtId="168" fontId="5" fillId="0" borderId="6" xfId="0" applyNumberFormat="1" applyFont="1" applyBorder="1" applyAlignment="1">
      <alignment horizontal="left" vertical="top" wrapText="1" indent="5"/>
    </xf>
    <xf numFmtId="168" fontId="12" fillId="0" borderId="1" xfId="0" applyNumberFormat="1" applyFont="1" applyBorder="1" applyAlignment="1">
      <alignment horizontal="left" vertical="top" wrapText="1" indent="1"/>
    </xf>
    <xf numFmtId="168" fontId="3" fillId="0" borderId="2" xfId="0" applyNumberFormat="1" applyFont="1" applyBorder="1" applyAlignment="1">
      <alignment horizontal="left" vertical="top" wrapText="1"/>
    </xf>
    <xf numFmtId="168" fontId="13" fillId="0" borderId="0" xfId="0" applyNumberFormat="1" applyFont="1" applyAlignment="1">
      <alignment horizontal="justify"/>
    </xf>
    <xf numFmtId="168" fontId="5" fillId="0" borderId="0" xfId="0" applyNumberFormat="1" applyFont="1" applyAlignment="1">
      <alignment horizontal="justify"/>
    </xf>
    <xf numFmtId="168" fontId="4" fillId="0" borderId="10" xfId="0" applyNumberFormat="1" applyFont="1" applyBorder="1" applyAlignment="1">
      <alignment vertical="top" wrapText="1"/>
    </xf>
    <xf numFmtId="168" fontId="25" fillId="0" borderId="0" xfId="0" applyNumberFormat="1" applyFont="1"/>
    <xf numFmtId="168" fontId="21" fillId="0" borderId="1" xfId="0" applyNumberFormat="1" applyFont="1" applyFill="1" applyBorder="1"/>
    <xf numFmtId="168" fontId="3" fillId="0" borderId="25" xfId="0" applyNumberFormat="1" applyFont="1" applyBorder="1"/>
    <xf numFmtId="168" fontId="3" fillId="0" borderId="24" xfId="0" applyNumberFormat="1" applyFont="1" applyBorder="1"/>
    <xf numFmtId="168" fontId="5" fillId="0" borderId="10" xfId="0" applyNumberFormat="1" applyFont="1" applyBorder="1" applyAlignment="1">
      <alignment vertical="top" wrapText="1"/>
    </xf>
    <xf numFmtId="168" fontId="5" fillId="0" borderId="0" xfId="0" applyNumberFormat="1" applyFont="1"/>
    <xf numFmtId="168" fontId="5" fillId="0" borderId="10" xfId="0" applyNumberFormat="1" applyFont="1" applyBorder="1" applyAlignment="1">
      <alignment horizontal="left" vertical="top" wrapText="1" indent="1"/>
    </xf>
    <xf numFmtId="168" fontId="5" fillId="0" borderId="14" xfId="0" applyNumberFormat="1" applyFont="1" applyBorder="1" applyAlignment="1">
      <alignment horizontal="left" vertical="top" wrapText="1" indent="1"/>
    </xf>
    <xf numFmtId="168" fontId="5" fillId="0" borderId="7" xfId="0" applyNumberFormat="1" applyFont="1" applyBorder="1" applyAlignment="1">
      <alignment horizontal="left" vertical="top" wrapText="1" indent="1"/>
    </xf>
    <xf numFmtId="168" fontId="3" fillId="0" borderId="26" xfId="0" applyNumberFormat="1" applyFont="1" applyBorder="1"/>
    <xf numFmtId="168" fontId="4" fillId="0" borderId="7" xfId="0" applyNumberFormat="1" applyFont="1" applyBorder="1" applyAlignment="1">
      <alignment horizontal="left" vertical="top" wrapText="1" indent="1"/>
    </xf>
    <xf numFmtId="168" fontId="3" fillId="0" borderId="15" xfId="0" applyNumberFormat="1" applyFont="1" applyBorder="1" applyAlignment="1">
      <alignment horizontal="right"/>
    </xf>
    <xf numFmtId="168" fontId="3" fillId="0" borderId="0" xfId="0" applyNumberFormat="1" applyFont="1" applyFill="1" applyBorder="1"/>
    <xf numFmtId="168" fontId="3" fillId="0" borderId="0" xfId="0" applyNumberFormat="1" applyFont="1" applyFill="1" applyBorder="1" applyAlignment="1">
      <alignment horizontal="right"/>
    </xf>
    <xf numFmtId="168" fontId="5" fillId="0" borderId="4" xfId="0" applyNumberFormat="1" applyFont="1" applyBorder="1"/>
    <xf numFmtId="168" fontId="5" fillId="0" borderId="3" xfId="0" applyNumberFormat="1" applyFont="1" applyBorder="1" applyAlignment="1">
      <alignment wrapText="1"/>
    </xf>
    <xf numFmtId="168" fontId="5" fillId="0" borderId="1" xfId="0" applyNumberFormat="1" applyFont="1" applyBorder="1" applyAlignment="1">
      <alignment wrapText="1"/>
    </xf>
    <xf numFmtId="168" fontId="5" fillId="0" borderId="3" xfId="0" applyNumberFormat="1" applyFont="1" applyBorder="1" applyAlignment="1">
      <alignment horizontal="right" vertical="top" wrapText="1"/>
    </xf>
    <xf numFmtId="168" fontId="24" fillId="0" borderId="0" xfId="0" applyNumberFormat="1" applyFont="1"/>
    <xf numFmtId="168" fontId="5" fillId="0" borderId="11" xfId="0" applyNumberFormat="1" applyFont="1" applyBorder="1"/>
    <xf numFmtId="168" fontId="5" fillId="0" borderId="11" xfId="0" applyNumberFormat="1" applyFont="1" applyBorder="1" applyAlignment="1"/>
    <xf numFmtId="168" fontId="5" fillId="0" borderId="8" xfId="0" applyNumberFormat="1" applyFont="1" applyBorder="1"/>
    <xf numFmtId="168" fontId="5" fillId="0" borderId="8" xfId="0" applyNumberFormat="1" applyFont="1" applyBorder="1" applyAlignment="1"/>
    <xf numFmtId="168" fontId="23" fillId="0" borderId="3" xfId="0" applyNumberFormat="1" applyFont="1" applyBorder="1"/>
    <xf numFmtId="168" fontId="5" fillId="0" borderId="1" xfId="0" applyNumberFormat="1" applyFont="1" applyBorder="1" applyAlignment="1">
      <alignment horizontal="center"/>
    </xf>
    <xf numFmtId="168" fontId="5" fillId="0" borderId="3" xfId="0" applyNumberFormat="1" applyFont="1" applyBorder="1" applyAlignment="1">
      <alignment horizontal="center"/>
    </xf>
    <xf numFmtId="168" fontId="5" fillId="0" borderId="6" xfId="0" applyNumberFormat="1" applyFont="1" applyBorder="1" applyAlignment="1">
      <alignment wrapText="1"/>
    </xf>
    <xf numFmtId="168" fontId="5" fillId="0" borderId="7" xfId="0" applyNumberFormat="1" applyFont="1" applyBorder="1"/>
    <xf numFmtId="168" fontId="5" fillId="0" borderId="4" xfId="0" applyNumberFormat="1" applyFont="1" applyBorder="1" applyAlignment="1">
      <alignment horizontal="center"/>
    </xf>
    <xf numFmtId="168" fontId="23" fillId="0" borderId="11" xfId="0" applyNumberFormat="1" applyFont="1" applyBorder="1"/>
    <xf numFmtId="168" fontId="5" fillId="0" borderId="3" xfId="0" applyNumberFormat="1" applyFont="1" applyBorder="1"/>
    <xf numFmtId="168" fontId="5" fillId="0" borderId="6" xfId="0" applyNumberFormat="1" applyFont="1" applyBorder="1" applyAlignment="1">
      <alignment horizontal="center"/>
    </xf>
    <xf numFmtId="168" fontId="5" fillId="0" borderId="16" xfId="0" applyNumberFormat="1" applyFont="1" applyBorder="1" applyAlignment="1">
      <alignment vertical="top"/>
    </xf>
    <xf numFmtId="168" fontId="5" fillId="0" borderId="9" xfId="0" applyNumberFormat="1" applyFont="1" applyBorder="1" applyAlignment="1">
      <alignment vertical="top"/>
    </xf>
    <xf numFmtId="168" fontId="5" fillId="0" borderId="10" xfId="0" applyNumberFormat="1" applyFont="1" applyBorder="1" applyAlignment="1">
      <alignment horizontal="center"/>
    </xf>
    <xf numFmtId="168" fontId="5" fillId="0" borderId="13" xfId="0" applyNumberFormat="1" applyFont="1" applyBorder="1" applyAlignment="1">
      <alignment horizontal="center"/>
    </xf>
    <xf numFmtId="168" fontId="5" fillId="0" borderId="12" xfId="0" applyNumberFormat="1" applyFont="1" applyBorder="1" applyAlignment="1">
      <alignment horizontal="center"/>
    </xf>
    <xf numFmtId="168" fontId="5" fillId="0" borderId="2" xfId="0" applyNumberFormat="1" applyFont="1" applyBorder="1" applyAlignment="1">
      <alignment horizontal="center" wrapText="1"/>
    </xf>
    <xf numFmtId="168" fontId="5" fillId="0" borderId="3" xfId="0" applyNumberFormat="1" applyFont="1" applyBorder="1" applyAlignment="1">
      <alignment horizontal="left" wrapText="1"/>
    </xf>
    <xf numFmtId="168" fontId="5" fillId="0" borderId="1" xfId="0" applyNumberFormat="1" applyFont="1" applyBorder="1" applyAlignment="1">
      <alignment vertical="top" wrapText="1"/>
    </xf>
    <xf numFmtId="168" fontId="3" fillId="0" borderId="27" xfId="0" applyNumberFormat="1" applyFont="1" applyBorder="1"/>
    <xf numFmtId="169" fontId="3" fillId="0" borderId="1" xfId="0" applyNumberFormat="1" applyFont="1" applyBorder="1"/>
    <xf numFmtId="1" fontId="5" fillId="0" borderId="6" xfId="0" applyNumberFormat="1" applyFont="1" applyBorder="1" applyAlignment="1">
      <alignment horizontal="right" vertical="top" wrapText="1"/>
    </xf>
    <xf numFmtId="169" fontId="3" fillId="0" borderId="3" xfId="0" applyNumberFormat="1" applyFont="1" applyBorder="1"/>
    <xf numFmtId="168" fontId="26" fillId="0" borderId="6" xfId="0" applyNumberFormat="1" applyFont="1" applyBorder="1"/>
    <xf numFmtId="168" fontId="5" fillId="0" borderId="0" xfId="0" applyNumberFormat="1" applyFont="1" applyBorder="1" applyAlignment="1">
      <alignment vertical="top" wrapText="1"/>
    </xf>
    <xf numFmtId="168" fontId="5" fillId="0" borderId="14" xfId="0" applyNumberFormat="1" applyFont="1" applyBorder="1" applyAlignment="1">
      <alignment vertical="top" wrapText="1"/>
    </xf>
    <xf numFmtId="168" fontId="26" fillId="0" borderId="1" xfId="0" applyNumberFormat="1" applyFont="1" applyBorder="1"/>
    <xf numFmtId="0" fontId="27" fillId="0" borderId="6" xfId="0" applyFont="1" applyBorder="1" applyAlignment="1">
      <alignment horizontal="justify" vertical="top" wrapText="1"/>
    </xf>
    <xf numFmtId="0" fontId="21" fillId="0" borderId="0" xfId="0" applyFont="1"/>
    <xf numFmtId="0" fontId="21" fillId="0" borderId="9" xfId="0" applyFont="1" applyBorder="1"/>
    <xf numFmtId="0" fontId="21" fillId="0" borderId="10" xfId="0" applyFont="1" applyBorder="1"/>
    <xf numFmtId="0" fontId="21" fillId="0" borderId="6" xfId="0" applyFont="1" applyBorder="1"/>
    <xf numFmtId="0" fontId="21" fillId="0" borderId="0" xfId="0" applyFont="1" applyBorder="1"/>
    <xf numFmtId="0" fontId="5" fillId="0" borderId="14" xfId="0" applyFont="1" applyBorder="1" applyAlignment="1">
      <alignment vertical="top" wrapText="1"/>
    </xf>
    <xf numFmtId="0" fontId="21" fillId="0" borderId="5" xfId="0" applyFont="1" applyBorder="1"/>
    <xf numFmtId="0" fontId="21" fillId="0" borderId="14" xfId="0" applyFont="1" applyBorder="1"/>
    <xf numFmtId="168" fontId="21" fillId="0" borderId="2" xfId="0" applyNumberFormat="1" applyFont="1" applyBorder="1"/>
    <xf numFmtId="168" fontId="21" fillId="0" borderId="5" xfId="0" applyNumberFormat="1" applyFont="1" applyBorder="1"/>
    <xf numFmtId="168" fontId="5" fillId="0" borderId="18" xfId="0" applyNumberFormat="1" applyFont="1" applyBorder="1" applyAlignment="1">
      <alignment horizontal="right" vertical="top" wrapText="1"/>
    </xf>
    <xf numFmtId="168" fontId="5" fillId="0" borderId="12" xfId="0" applyNumberFormat="1" applyFont="1" applyBorder="1" applyAlignment="1">
      <alignment vertical="top" wrapText="1"/>
    </xf>
    <xf numFmtId="168" fontId="5" fillId="0" borderId="12" xfId="0" applyNumberFormat="1" applyFont="1" applyBorder="1" applyAlignment="1">
      <alignment horizontal="right" vertical="top" wrapText="1"/>
    </xf>
    <xf numFmtId="168" fontId="5" fillId="0" borderId="24" xfId="0" applyNumberFormat="1" applyFont="1" applyBorder="1" applyAlignment="1">
      <alignment horizontal="right" vertical="top" wrapText="1"/>
    </xf>
    <xf numFmtId="0" fontId="4" fillId="0" borderId="14" xfId="0" applyFont="1" applyBorder="1" applyAlignment="1">
      <alignment horizontal="center" vertical="top" wrapText="1"/>
    </xf>
    <xf numFmtId="0" fontId="4" fillId="0" borderId="19" xfId="0" applyFont="1" applyBorder="1" applyAlignment="1">
      <alignment horizontal="center" vertical="top" wrapText="1"/>
    </xf>
    <xf numFmtId="0" fontId="5" fillId="0" borderId="25" xfId="0" applyFont="1" applyBorder="1" applyAlignment="1">
      <alignment horizontal="justify" vertical="top" wrapText="1"/>
    </xf>
    <xf numFmtId="0" fontId="4" fillId="0" borderId="25" xfId="0" applyFont="1" applyBorder="1" applyAlignment="1">
      <alignment horizontal="center" vertical="top" wrapText="1"/>
    </xf>
    <xf numFmtId="168" fontId="3" fillId="0" borderId="28" xfId="0" applyNumberFormat="1" applyFont="1" applyBorder="1"/>
    <xf numFmtId="0" fontId="22" fillId="0" borderId="6" xfId="0" applyFont="1" applyBorder="1" applyAlignment="1">
      <alignment horizontal="center"/>
    </xf>
    <xf numFmtId="0" fontId="4" fillId="0" borderId="6" xfId="0" applyFont="1" applyBorder="1" applyAlignment="1">
      <alignment horizontal="center" vertical="top" wrapText="1"/>
    </xf>
    <xf numFmtId="0" fontId="4" fillId="0" borderId="23" xfId="0" applyFont="1" applyBorder="1" applyAlignment="1">
      <alignment horizontal="center" wrapText="1"/>
    </xf>
    <xf numFmtId="168" fontId="5" fillId="0" borderId="5" xfId="0" applyNumberFormat="1" applyFont="1" applyBorder="1"/>
    <xf numFmtId="168" fontId="5" fillId="0" borderId="22" xfId="0" applyNumberFormat="1" applyFont="1" applyBorder="1"/>
    <xf numFmtId="168" fontId="5" fillId="0" borderId="5" xfId="0" applyNumberFormat="1" applyFont="1" applyBorder="1" applyAlignment="1">
      <alignment horizontal="right"/>
    </xf>
    <xf numFmtId="168" fontId="5" fillId="0" borderId="18" xfId="0" applyNumberFormat="1" applyFont="1" applyBorder="1"/>
    <xf numFmtId="0" fontId="4" fillId="0" borderId="7" xfId="0" applyFont="1" applyBorder="1" applyAlignment="1">
      <alignment vertical="top"/>
    </xf>
    <xf numFmtId="0" fontId="4" fillId="0" borderId="16" xfId="0" applyFont="1" applyBorder="1" applyAlignment="1">
      <alignment vertical="top"/>
    </xf>
    <xf numFmtId="0" fontId="21" fillId="0" borderId="16" xfId="0" applyFont="1" applyBorder="1"/>
    <xf numFmtId="168" fontId="4" fillId="0" borderId="6" xfId="0" applyNumberFormat="1" applyFont="1" applyBorder="1" applyAlignment="1"/>
    <xf numFmtId="168" fontId="29" fillId="0" borderId="6" xfId="0" applyNumberFormat="1" applyFont="1" applyBorder="1"/>
    <xf numFmtId="168" fontId="4" fillId="0" borderId="1" xfId="0" applyNumberFormat="1" applyFont="1" applyBorder="1" applyAlignment="1"/>
    <xf numFmtId="168" fontId="5" fillId="0" borderId="25" xfId="0" applyNumberFormat="1" applyFont="1" applyBorder="1" applyAlignment="1">
      <alignment horizontal="right" wrapText="1"/>
    </xf>
    <xf numFmtId="43" fontId="4" fillId="0" borderId="1" xfId="1" applyFont="1" applyBorder="1"/>
    <xf numFmtId="43" fontId="5" fillId="0" borderId="0" xfId="1" applyFont="1" applyBorder="1"/>
    <xf numFmtId="43" fontId="5" fillId="0" borderId="1" xfId="1" applyFont="1" applyBorder="1"/>
    <xf numFmtId="43" fontId="4" fillId="0" borderId="2" xfId="1" applyFont="1" applyBorder="1"/>
    <xf numFmtId="43" fontId="5" fillId="0" borderId="14" xfId="1" applyFont="1" applyBorder="1"/>
    <xf numFmtId="43" fontId="5" fillId="0" borderId="2" xfId="1" applyFont="1" applyBorder="1"/>
    <xf numFmtId="43" fontId="20" fillId="0" borderId="9" xfId="1" applyFont="1" applyBorder="1" applyAlignment="1">
      <alignment vertical="top"/>
    </xf>
    <xf numFmtId="43" fontId="5" fillId="0" borderId="16" xfId="1" applyFont="1" applyBorder="1" applyAlignment="1">
      <alignment vertical="top"/>
    </xf>
    <xf numFmtId="169" fontId="4" fillId="0" borderId="1" xfId="0" applyNumberFormat="1" applyFont="1" applyBorder="1"/>
    <xf numFmtId="169" fontId="4" fillId="0" borderId="2" xfId="0" applyNumberFormat="1" applyFont="1" applyBorder="1"/>
    <xf numFmtId="169" fontId="4" fillId="0" borderId="1" xfId="0" applyNumberFormat="1" applyFont="1" applyBorder="1" applyAlignment="1">
      <alignment horizontal="right"/>
    </xf>
    <xf numFmtId="168" fontId="21" fillId="0" borderId="13" xfId="0" applyNumberFormat="1" applyFont="1" applyBorder="1"/>
    <xf numFmtId="168" fontId="21" fillId="0" borderId="0" xfId="0" applyNumberFormat="1" applyFont="1" applyBorder="1"/>
    <xf numFmtId="168" fontId="21" fillId="0" borderId="14" xfId="0" applyNumberFormat="1" applyFont="1" applyBorder="1"/>
    <xf numFmtId="0" fontId="5" fillId="0" borderId="1" xfId="0" applyFont="1" applyBorder="1"/>
    <xf numFmtId="0" fontId="5" fillId="0" borderId="12" xfId="0" applyFont="1" applyBorder="1"/>
    <xf numFmtId="0" fontId="5" fillId="0" borderId="14" xfId="0" applyFont="1" applyBorder="1"/>
    <xf numFmtId="0" fontId="5" fillId="0" borderId="7" xfId="0" applyFont="1" applyBorder="1"/>
    <xf numFmtId="0" fontId="5" fillId="0" borderId="10" xfId="0" applyFont="1" applyBorder="1"/>
    <xf numFmtId="168" fontId="5" fillId="0" borderId="17" xfId="0" applyNumberFormat="1" applyFont="1" applyBorder="1"/>
    <xf numFmtId="1" fontId="5" fillId="0" borderId="13" xfId="0" applyNumberFormat="1" applyFont="1" applyBorder="1"/>
    <xf numFmtId="1" fontId="5" fillId="0" borderId="10" xfId="0" applyNumberFormat="1" applyFont="1" applyBorder="1"/>
    <xf numFmtId="1" fontId="5" fillId="0" borderId="12" xfId="0" applyNumberFormat="1" applyFont="1" applyBorder="1"/>
    <xf numFmtId="1" fontId="5" fillId="0" borderId="6" xfId="0" applyNumberFormat="1" applyFont="1" applyBorder="1"/>
    <xf numFmtId="1" fontId="5" fillId="0" borderId="1" xfId="0" applyNumberFormat="1" applyFont="1" applyBorder="1"/>
    <xf numFmtId="1" fontId="5" fillId="0" borderId="14" xfId="0" applyNumberFormat="1" applyFont="1" applyBorder="1"/>
    <xf numFmtId="1" fontId="5" fillId="0" borderId="0" xfId="0" applyNumberFormat="1" applyFont="1" applyBorder="1"/>
    <xf numFmtId="43" fontId="5" fillId="0" borderId="6" xfId="1" applyFont="1" applyBorder="1"/>
    <xf numFmtId="1" fontId="5" fillId="0" borderId="17" xfId="0" applyNumberFormat="1" applyFont="1" applyBorder="1"/>
    <xf numFmtId="1" fontId="5" fillId="0" borderId="2" xfId="0" applyNumberFormat="1" applyFont="1" applyBorder="1"/>
    <xf numFmtId="0" fontId="5" fillId="0" borderId="25" xfId="0" applyFont="1" applyBorder="1"/>
    <xf numFmtId="168" fontId="5" fillId="0" borderId="13" xfId="0" applyNumberFormat="1" applyFont="1" applyBorder="1"/>
    <xf numFmtId="170" fontId="20" fillId="0" borderId="7" xfId="1" applyNumberFormat="1" applyFont="1" applyBorder="1" applyAlignment="1">
      <alignment vertical="top"/>
    </xf>
    <xf numFmtId="170" fontId="5" fillId="0" borderId="16" xfId="1" applyNumberFormat="1" applyFont="1" applyBorder="1" applyAlignment="1">
      <alignment vertical="top"/>
    </xf>
    <xf numFmtId="0" fontId="12" fillId="0" borderId="11" xfId="0" applyFont="1" applyBorder="1" applyAlignment="1">
      <alignment horizontal="left" vertical="top" wrapText="1" indent="1"/>
    </xf>
    <xf numFmtId="0" fontId="12" fillId="0" borderId="3" xfId="0" applyFont="1" applyBorder="1" applyAlignment="1">
      <alignment horizontal="left" vertical="top" wrapText="1" indent="1"/>
    </xf>
    <xf numFmtId="0" fontId="4" fillId="0" borderId="8" xfId="0" applyFont="1" applyBorder="1" applyAlignment="1">
      <alignment horizontal="center" vertical="top" wrapText="1"/>
    </xf>
    <xf numFmtId="0" fontId="3" fillId="0" borderId="24" xfId="0" applyFont="1" applyBorder="1"/>
    <xf numFmtId="0" fontId="4" fillId="0" borderId="9" xfId="0" applyFont="1" applyBorder="1" applyAlignment="1">
      <alignment horizontal="right" vertical="top" wrapText="1"/>
    </xf>
    <xf numFmtId="0" fontId="4" fillId="0" borderId="22" xfId="0" applyFont="1" applyBorder="1" applyAlignment="1">
      <alignment horizontal="right" vertical="top" wrapText="1"/>
    </xf>
    <xf numFmtId="0" fontId="4" fillId="0" borderId="5" xfId="0" applyFont="1" applyBorder="1" applyAlignment="1">
      <alignment horizontal="justify" vertical="top" wrapText="1"/>
    </xf>
    <xf numFmtId="0" fontId="4" fillId="0" borderId="9" xfId="0" applyFont="1" applyBorder="1"/>
    <xf numFmtId="0" fontId="4" fillId="0" borderId="8" xfId="0" applyFont="1" applyBorder="1"/>
    <xf numFmtId="168" fontId="4" fillId="0" borderId="22" xfId="0" applyNumberFormat="1" applyFont="1" applyBorder="1" applyAlignment="1">
      <alignment horizontal="right" vertical="top" wrapText="1"/>
    </xf>
    <xf numFmtId="0" fontId="22" fillId="0" borderId="5" xfId="0" applyFont="1" applyBorder="1"/>
    <xf numFmtId="0" fontId="4" fillId="0" borderId="22" xfId="0" applyFont="1" applyBorder="1"/>
    <xf numFmtId="168" fontId="4" fillId="0" borderId="4" xfId="0" applyNumberFormat="1" applyFont="1" applyBorder="1"/>
    <xf numFmtId="0" fontId="4" fillId="0" borderId="4" xfId="0" applyFont="1" applyBorder="1" applyAlignment="1">
      <alignment horizontal="center" vertical="top" wrapText="1"/>
    </xf>
    <xf numFmtId="0" fontId="4" fillId="0" borderId="14" xfId="0" applyFont="1" applyBorder="1" applyAlignment="1">
      <alignment horizontal="right" wrapText="1"/>
    </xf>
    <xf numFmtId="0" fontId="4" fillId="0" borderId="2" xfId="0" applyFont="1" applyBorder="1" applyAlignment="1">
      <alignment horizontal="right" wrapText="1"/>
    </xf>
    <xf numFmtId="168" fontId="4" fillId="0" borderId="8" xfId="0" applyNumberFormat="1" applyFont="1" applyBorder="1"/>
    <xf numFmtId="0" fontId="22" fillId="0" borderId="6" xfId="0" applyFont="1" applyBorder="1"/>
    <xf numFmtId="168" fontId="4" fillId="0" borderId="29" xfId="0" applyNumberFormat="1" applyFont="1" applyBorder="1"/>
    <xf numFmtId="0" fontId="4" fillId="0" borderId="29" xfId="0" applyFont="1" applyBorder="1"/>
    <xf numFmtId="1" fontId="4" fillId="0" borderId="30" xfId="0" applyNumberFormat="1" applyFont="1" applyBorder="1"/>
    <xf numFmtId="1" fontId="4" fillId="0" borderId="6" xfId="0" applyNumberFormat="1" applyFont="1" applyBorder="1"/>
    <xf numFmtId="1" fontId="4" fillId="0" borderId="29" xfId="0" applyNumberFormat="1" applyFont="1" applyBorder="1"/>
    <xf numFmtId="0" fontId="22" fillId="0" borderId="2" xfId="0" applyFont="1" applyBorder="1"/>
    <xf numFmtId="168" fontId="4" fillId="0" borderId="26" xfId="0" applyNumberFormat="1" applyFont="1" applyBorder="1"/>
    <xf numFmtId="43" fontId="5" fillId="0" borderId="3" xfId="1" applyFont="1" applyBorder="1"/>
    <xf numFmtId="43" fontId="3" fillId="0" borderId="6" xfId="1" applyFont="1" applyBorder="1"/>
    <xf numFmtId="43" fontId="3" fillId="0" borderId="14" xfId="1" applyFont="1" applyBorder="1"/>
    <xf numFmtId="43" fontId="3" fillId="0" borderId="1" xfId="1" applyFont="1" applyBorder="1"/>
    <xf numFmtId="43" fontId="3" fillId="0" borderId="2" xfId="1" applyFont="1" applyBorder="1"/>
    <xf numFmtId="43" fontId="22" fillId="0" borderId="29" xfId="1" applyFont="1" applyBorder="1"/>
    <xf numFmtId="43" fontId="5" fillId="0" borderId="6" xfId="1" applyFont="1" applyBorder="1" applyAlignment="1">
      <alignment horizontal="right" wrapText="1"/>
    </xf>
    <xf numFmtId="43" fontId="5" fillId="0" borderId="14" xfId="1" applyFont="1" applyBorder="1" applyAlignment="1">
      <alignment horizontal="right" wrapText="1"/>
    </xf>
    <xf numFmtId="43" fontId="5" fillId="0" borderId="1" xfId="1" applyFont="1" applyBorder="1" applyAlignment="1">
      <alignment horizontal="right" wrapText="1"/>
    </xf>
    <xf numFmtId="43" fontId="5" fillId="0" borderId="2" xfId="1" applyFont="1" applyBorder="1" applyAlignment="1">
      <alignment horizontal="right" wrapText="1"/>
    </xf>
    <xf numFmtId="43" fontId="5" fillId="0" borderId="3" xfId="1" applyFont="1" applyBorder="1" applyAlignment="1">
      <alignment horizontal="right" vertical="top" wrapText="1"/>
    </xf>
    <xf numFmtId="43" fontId="4" fillId="0" borderId="4" xfId="1" applyFont="1" applyBorder="1"/>
    <xf numFmtId="43" fontId="3" fillId="0" borderId="3" xfId="1" applyFont="1" applyBorder="1"/>
    <xf numFmtId="43" fontId="3" fillId="0" borderId="4" xfId="1" applyFont="1" applyBorder="1" applyAlignment="1">
      <alignment horizontal="right"/>
    </xf>
    <xf numFmtId="43" fontId="3" fillId="0" borderId="4" xfId="1" applyFont="1" applyBorder="1"/>
    <xf numFmtId="43" fontId="5" fillId="0" borderId="8" xfId="1" applyFont="1" applyBorder="1" applyAlignment="1">
      <alignment horizontal="right" vertical="top" wrapText="1"/>
    </xf>
    <xf numFmtId="43" fontId="5" fillId="0" borderId="0" xfId="1" applyFont="1" applyBorder="1" applyAlignment="1">
      <alignment horizontal="justify" vertical="top" wrapText="1"/>
    </xf>
    <xf numFmtId="43" fontId="5" fillId="0" borderId="1" xfId="1" applyFont="1" applyBorder="1" applyAlignment="1">
      <alignment horizontal="right" vertical="top" wrapText="1"/>
    </xf>
    <xf numFmtId="43" fontId="5" fillId="0" borderId="6" xfId="1" applyFont="1" applyBorder="1" applyAlignment="1">
      <alignment horizontal="right" vertical="top" wrapText="1"/>
    </xf>
    <xf numFmtId="43" fontId="5" fillId="0" borderId="6" xfId="1" applyFont="1" applyBorder="1" applyAlignment="1">
      <alignment horizontal="justify" vertical="top" wrapText="1"/>
    </xf>
    <xf numFmtId="43" fontId="5" fillId="0" borderId="14" xfId="1" applyFont="1" applyBorder="1" applyAlignment="1">
      <alignment horizontal="right" vertical="top" wrapText="1"/>
    </xf>
    <xf numFmtId="43" fontId="5" fillId="0" borderId="4" xfId="1" applyFont="1" applyBorder="1"/>
    <xf numFmtId="43" fontId="3" fillId="0" borderId="11" xfId="1" applyFont="1" applyBorder="1"/>
    <xf numFmtId="43" fontId="5" fillId="0" borderId="11" xfId="1" applyFont="1" applyBorder="1" applyAlignment="1">
      <alignment horizontal="justify" vertical="top" wrapText="1"/>
    </xf>
    <xf numFmtId="43" fontId="5" fillId="0" borderId="13" xfId="1" applyFont="1" applyBorder="1" applyAlignment="1">
      <alignment horizontal="justify" vertical="top" wrapText="1"/>
    </xf>
    <xf numFmtId="43" fontId="5" fillId="0" borderId="12" xfId="1" applyFont="1" applyBorder="1" applyAlignment="1">
      <alignment horizontal="justify" vertical="top" wrapText="1"/>
    </xf>
    <xf numFmtId="43" fontId="5" fillId="0" borderId="12" xfId="1" applyFont="1" applyBorder="1" applyAlignment="1">
      <alignment horizontal="right" vertical="top" wrapText="1"/>
    </xf>
    <xf numFmtId="43" fontId="5" fillId="0" borderId="3" xfId="1" applyFont="1" applyBorder="1" applyAlignment="1">
      <alignment horizontal="justify" vertical="top" wrapText="1"/>
    </xf>
    <xf numFmtId="43" fontId="5" fillId="0" borderId="3" xfId="1" applyFont="1" applyBorder="1" applyAlignment="1">
      <alignment horizontal="left" vertical="top" wrapText="1"/>
    </xf>
    <xf numFmtId="43" fontId="5" fillId="0" borderId="1" xfId="1" applyFont="1" applyBorder="1" applyAlignment="1">
      <alignment horizontal="justify" vertical="top" wrapText="1"/>
    </xf>
    <xf numFmtId="14" fontId="5" fillId="0" borderId="4" xfId="0" quotePrefix="1" applyNumberFormat="1" applyFont="1" applyBorder="1" applyAlignment="1">
      <alignment horizontal="right" wrapText="1"/>
    </xf>
    <xf numFmtId="0" fontId="5" fillId="0" borderId="4" xfId="0" applyFont="1" applyBorder="1" applyAlignment="1">
      <alignment horizontal="right" wrapText="1"/>
    </xf>
    <xf numFmtId="0" fontId="5" fillId="0" borderId="16" xfId="0" applyFont="1" applyBorder="1" applyAlignment="1">
      <alignment horizontal="right" wrapText="1"/>
    </xf>
    <xf numFmtId="0" fontId="5" fillId="0" borderId="9" xfId="0" applyFont="1" applyBorder="1" applyAlignment="1">
      <alignment horizontal="right" wrapText="1"/>
    </xf>
    <xf numFmtId="14" fontId="5" fillId="0" borderId="11" xfId="0" applyNumberFormat="1" applyFont="1" applyBorder="1" applyAlignment="1">
      <alignment horizontal="right" vertical="top" wrapText="1"/>
    </xf>
    <xf numFmtId="14" fontId="5" fillId="0" borderId="10" xfId="0" applyNumberFormat="1" applyFont="1" applyBorder="1" applyAlignment="1">
      <alignment horizontal="right" wrapText="1"/>
    </xf>
    <xf numFmtId="0" fontId="5" fillId="0" borderId="11" xfId="0" applyFont="1" applyBorder="1" applyAlignment="1">
      <alignment horizontal="right" wrapText="1"/>
    </xf>
    <xf numFmtId="43" fontId="5" fillId="0" borderId="11" xfId="1" applyFont="1" applyBorder="1"/>
    <xf numFmtId="43" fontId="4" fillId="0" borderId="23" xfId="1" applyFont="1" applyBorder="1"/>
    <xf numFmtId="43" fontId="5" fillId="0" borderId="12" xfId="1" applyFont="1" applyBorder="1"/>
    <xf numFmtId="43" fontId="5" fillId="0" borderId="6" xfId="1" applyFont="1" applyBorder="1" applyAlignment="1">
      <alignment horizontal="right"/>
    </xf>
    <xf numFmtId="43" fontId="3" fillId="0" borderId="12" xfId="1" applyFont="1" applyBorder="1"/>
    <xf numFmtId="43" fontId="3" fillId="0" borderId="0" xfId="1" applyFont="1" applyBorder="1"/>
    <xf numFmtId="0" fontId="4" fillId="0" borderId="2" xfId="0" applyFont="1" applyBorder="1" applyAlignment="1">
      <alignment horizontal="center" vertical="top" wrapText="1"/>
    </xf>
    <xf numFmtId="43" fontId="3" fillId="0" borderId="3" xfId="1" applyFont="1" applyBorder="1" applyAlignment="1">
      <alignment horizontal="right"/>
    </xf>
    <xf numFmtId="43" fontId="5" fillId="0" borderId="0" xfId="1" applyFont="1" applyBorder="1" applyAlignment="1">
      <alignment horizontal="right" vertical="top" wrapText="1"/>
    </xf>
    <xf numFmtId="167" fontId="20" fillId="0" borderId="16" xfId="1" applyNumberFormat="1" applyFont="1" applyBorder="1" applyAlignment="1">
      <alignment vertical="top"/>
    </xf>
    <xf numFmtId="168" fontId="5" fillId="0" borderId="14" xfId="1" applyNumberFormat="1" applyFont="1" applyBorder="1"/>
    <xf numFmtId="43" fontId="4" fillId="0" borderId="0" xfId="1" applyFont="1" applyBorder="1"/>
    <xf numFmtId="168" fontId="4" fillId="0" borderId="10" xfId="0" applyNumberFormat="1" applyFont="1" applyBorder="1"/>
    <xf numFmtId="43" fontId="4" fillId="0" borderId="12" xfId="1" applyFont="1" applyBorder="1"/>
    <xf numFmtId="43" fontId="5" fillId="0" borderId="13" xfId="1" applyFont="1" applyBorder="1"/>
    <xf numFmtId="169" fontId="4" fillId="0" borderId="9" xfId="0" applyNumberFormat="1" applyFont="1" applyBorder="1"/>
    <xf numFmtId="1" fontId="5" fillId="0" borderId="3" xfId="0" applyNumberFormat="1" applyFont="1" applyBorder="1"/>
    <xf numFmtId="169" fontId="4" fillId="0" borderId="16" xfId="0" applyNumberFormat="1" applyFont="1" applyBorder="1"/>
    <xf numFmtId="168" fontId="5" fillId="0" borderId="0" xfId="1" applyNumberFormat="1" applyFont="1" applyBorder="1"/>
    <xf numFmtId="0" fontId="4" fillId="0" borderId="7" xfId="0" applyFont="1" applyBorder="1" applyAlignment="1">
      <alignment horizontal="right"/>
    </xf>
    <xf numFmtId="168" fontId="5" fillId="0" borderId="4" xfId="1" applyNumberFormat="1" applyFont="1" applyBorder="1"/>
    <xf numFmtId="1" fontId="3" fillId="0" borderId="0" xfId="0" applyNumberFormat="1" applyFont="1"/>
    <xf numFmtId="0" fontId="5" fillId="0" borderId="16" xfId="0" applyFont="1" applyBorder="1" applyAlignment="1">
      <alignment horizontal="center"/>
    </xf>
    <xf numFmtId="0" fontId="0" fillId="0" borderId="31" xfId="0" applyBorder="1"/>
    <xf numFmtId="168" fontId="5" fillId="0" borderId="14" xfId="0" applyNumberFormat="1" applyFont="1" applyFill="1" applyBorder="1" applyAlignment="1">
      <alignment horizontal="right" vertical="top" wrapText="1"/>
    </xf>
    <xf numFmtId="168" fontId="5" fillId="0" borderId="0" xfId="0" applyNumberFormat="1" applyFont="1" applyFill="1" applyBorder="1" applyAlignment="1">
      <alignment horizontal="right" vertical="top" wrapText="1"/>
    </xf>
    <xf numFmtId="0" fontId="5" fillId="0" borderId="0" xfId="0" applyFont="1" applyFill="1" applyBorder="1"/>
    <xf numFmtId="167" fontId="20" fillId="0" borderId="9" xfId="1" applyNumberFormat="1" applyFont="1" applyBorder="1" applyAlignment="1">
      <alignment vertical="top"/>
    </xf>
    <xf numFmtId="168" fontId="5" fillId="0" borderId="1" xfId="0" applyNumberFormat="1" applyFont="1" applyBorder="1" applyAlignment="1">
      <alignment horizontal="left" vertical="top" wrapText="1"/>
    </xf>
    <xf numFmtId="168" fontId="11" fillId="0" borderId="6" xfId="0" applyNumberFormat="1" applyFont="1" applyBorder="1" applyAlignment="1">
      <alignment vertical="top" wrapText="1"/>
    </xf>
    <xf numFmtId="168" fontId="31" fillId="0" borderId="0" xfId="0" applyNumberFormat="1" applyFont="1"/>
    <xf numFmtId="43" fontId="4" fillId="0" borderId="29" xfId="1" applyFont="1" applyBorder="1"/>
    <xf numFmtId="0" fontId="5" fillId="0" borderId="6" xfId="0" applyFont="1" applyBorder="1" applyAlignment="1">
      <alignment wrapText="1"/>
    </xf>
    <xf numFmtId="0" fontId="4" fillId="0" borderId="7" xfId="0" applyFont="1" applyBorder="1" applyAlignment="1">
      <alignment horizontal="left"/>
    </xf>
    <xf numFmtId="0" fontId="32" fillId="0" borderId="0" xfId="0" applyFont="1" applyAlignment="1">
      <alignment horizontal="justify"/>
    </xf>
    <xf numFmtId="0" fontId="33" fillId="0" borderId="6" xfId="0" applyFont="1" applyBorder="1"/>
    <xf numFmtId="1" fontId="4" fillId="0" borderId="22" xfId="0" applyNumberFormat="1" applyFont="1" applyBorder="1"/>
    <xf numFmtId="168" fontId="4" fillId="0" borderId="22" xfId="0" applyNumberFormat="1" applyFont="1" applyBorder="1"/>
    <xf numFmtId="168" fontId="5" fillId="0" borderId="6" xfId="0" applyNumberFormat="1" applyFont="1" applyBorder="1" applyAlignment="1">
      <alignment horizontal="center" vertical="top" wrapText="1"/>
    </xf>
    <xf numFmtId="168" fontId="4" fillId="0" borderId="0" xfId="0" applyNumberFormat="1" applyFont="1" applyBorder="1" applyAlignment="1">
      <alignment vertical="top" wrapText="1"/>
    </xf>
    <xf numFmtId="168" fontId="5" fillId="0" borderId="0" xfId="1" applyNumberFormat="1" applyFont="1" applyFill="1" applyBorder="1" applyAlignment="1">
      <alignment horizontal="right" vertical="top" wrapText="1"/>
    </xf>
    <xf numFmtId="168" fontId="4" fillId="0" borderId="14" xfId="0" applyNumberFormat="1" applyFont="1" applyBorder="1" applyAlignment="1">
      <alignment horizontal="center" vertical="top" wrapText="1"/>
    </xf>
    <xf numFmtId="168" fontId="4" fillId="0" borderId="23" xfId="0" applyNumberFormat="1" applyFont="1" applyBorder="1" applyAlignment="1">
      <alignment horizontal="center" wrapText="1"/>
    </xf>
    <xf numFmtId="168" fontId="4" fillId="0" borderId="6" xfId="0" applyNumberFormat="1" applyFont="1" applyBorder="1" applyAlignment="1">
      <alignment horizontal="center" vertical="top" wrapText="1"/>
    </xf>
    <xf numFmtId="168" fontId="5" fillId="0" borderId="10" xfId="0" applyNumberFormat="1" applyFont="1" applyFill="1" applyBorder="1" applyAlignment="1">
      <alignment horizontal="center" vertical="top" wrapText="1"/>
    </xf>
    <xf numFmtId="168" fontId="5" fillId="0" borderId="13" xfId="0" applyNumberFormat="1" applyFont="1" applyFill="1" applyBorder="1" applyAlignment="1">
      <alignment horizontal="center" vertical="top" wrapText="1"/>
    </xf>
    <xf numFmtId="168" fontId="5" fillId="0" borderId="12" xfId="0" applyNumberFormat="1" applyFont="1" applyFill="1" applyBorder="1" applyAlignment="1">
      <alignment horizontal="center" vertical="top" wrapText="1"/>
    </xf>
    <xf numFmtId="168" fontId="25" fillId="0" borderId="10" xfId="0" applyNumberFormat="1" applyFont="1" applyBorder="1"/>
    <xf numFmtId="168" fontId="22" fillId="0" borderId="6" xfId="0" applyNumberFormat="1" applyFont="1" applyBorder="1"/>
    <xf numFmtId="168" fontId="22" fillId="0" borderId="6" xfId="0" applyNumberFormat="1" applyFont="1" applyBorder="1" applyAlignment="1">
      <alignment wrapText="1"/>
    </xf>
    <xf numFmtId="168" fontId="3" fillId="0" borderId="0" xfId="0" applyNumberFormat="1" applyFont="1" applyFill="1"/>
    <xf numFmtId="168" fontId="11" fillId="0" borderId="0" xfId="0" applyNumberFormat="1" applyFont="1" applyAlignment="1">
      <alignment horizontal="left"/>
    </xf>
    <xf numFmtId="168" fontId="4" fillId="0" borderId="0" xfId="0" applyNumberFormat="1" applyFont="1" applyAlignment="1">
      <alignment horizontal="left"/>
    </xf>
    <xf numFmtId="0" fontId="5" fillId="0" borderId="13" xfId="0" applyFont="1" applyBorder="1"/>
    <xf numFmtId="0" fontId="4" fillId="0" borderId="5" xfId="0" applyFont="1" applyBorder="1"/>
    <xf numFmtId="0" fontId="4" fillId="0" borderId="14" xfId="0" applyFont="1" applyBorder="1"/>
    <xf numFmtId="0" fontId="5" fillId="0" borderId="5" xfId="0" applyFont="1" applyBorder="1"/>
    <xf numFmtId="0" fontId="11" fillId="0" borderId="0" xfId="0" applyFont="1" applyAlignment="1">
      <alignment horizontal="left"/>
    </xf>
    <xf numFmtId="0" fontId="5" fillId="0" borderId="9" xfId="0" applyFont="1" applyBorder="1" applyAlignment="1">
      <alignment horizontal="center" vertical="top" wrapText="1"/>
    </xf>
    <xf numFmtId="0" fontId="5" fillId="0" borderId="0" xfId="0" applyFont="1" applyAlignment="1">
      <alignment horizontal="left"/>
    </xf>
    <xf numFmtId="0" fontId="4" fillId="0" borderId="6" xfId="0" applyFont="1" applyBorder="1" applyAlignment="1">
      <alignment horizontal="justify" vertical="top" wrapText="1"/>
    </xf>
    <xf numFmtId="0" fontId="5" fillId="0" borderId="6" xfId="0" applyFont="1" applyBorder="1" applyAlignment="1">
      <alignment horizontal="left" vertical="top" wrapText="1"/>
    </xf>
    <xf numFmtId="0" fontId="5" fillId="0" borderId="1" xfId="0" applyFont="1" applyBorder="1" applyAlignment="1">
      <alignment horizontal="left" vertical="top" wrapText="1"/>
    </xf>
    <xf numFmtId="0" fontId="4" fillId="0" borderId="7" xfId="0" applyFont="1" applyBorder="1" applyAlignment="1">
      <alignment horizontal="center" vertical="top" wrapText="1"/>
    </xf>
    <xf numFmtId="0" fontId="5" fillId="0" borderId="0" xfId="0" applyFont="1" applyAlignment="1" applyProtection="1">
      <alignment horizontal="center" vertical="top" wrapText="1"/>
    </xf>
    <xf numFmtId="0" fontId="5" fillId="0" borderId="10" xfId="0" applyFont="1" applyBorder="1" applyAlignment="1">
      <alignment horizontal="left" vertical="top" wrapText="1"/>
    </xf>
    <xf numFmtId="0" fontId="5" fillId="0" borderId="0" xfId="0" applyFont="1" applyBorder="1" applyAlignment="1">
      <alignment horizontal="left" vertical="top" wrapText="1"/>
    </xf>
    <xf numFmtId="0" fontId="5" fillId="0" borderId="12" xfId="0" applyFont="1" applyBorder="1" applyAlignment="1">
      <alignment horizontal="left" vertical="top" wrapText="1"/>
    </xf>
    <xf numFmtId="0" fontId="12" fillId="0" borderId="6" xfId="0" applyFont="1" applyBorder="1" applyAlignment="1">
      <alignment horizontal="left" vertical="top" wrapText="1" indent="2"/>
    </xf>
    <xf numFmtId="0" fontId="4" fillId="0" borderId="0" xfId="0" applyFont="1" applyAlignment="1">
      <alignment wrapText="1"/>
    </xf>
    <xf numFmtId="0" fontId="4" fillId="0" borderId="6" xfId="0" applyFont="1" applyBorder="1"/>
    <xf numFmtId="0" fontId="5" fillId="0" borderId="0" xfId="0" applyFont="1" applyBorder="1"/>
    <xf numFmtId="0" fontId="4" fillId="0" borderId="0" xfId="0" applyFont="1" applyBorder="1"/>
    <xf numFmtId="168" fontId="4" fillId="0" borderId="0" xfId="0" applyNumberFormat="1" applyFont="1" applyAlignment="1">
      <alignment horizontal="left" vertical="top"/>
    </xf>
    <xf numFmtId="167" fontId="5" fillId="0" borderId="6" xfId="0" applyNumberFormat="1" applyFont="1" applyBorder="1"/>
    <xf numFmtId="43" fontId="5" fillId="0" borderId="6" xfId="0" applyNumberFormat="1" applyFont="1" applyBorder="1" applyAlignment="1">
      <alignment horizontal="right" wrapText="1"/>
    </xf>
    <xf numFmtId="43" fontId="5" fillId="0" borderId="14" xfId="0" applyNumberFormat="1" applyFont="1" applyBorder="1" applyAlignment="1">
      <alignment horizontal="right" wrapText="1"/>
    </xf>
    <xf numFmtId="168" fontId="5" fillId="0" borderId="6" xfId="1" applyNumberFormat="1" applyFont="1" applyBorder="1"/>
    <xf numFmtId="168" fontId="5" fillId="0" borderId="35" xfId="0" applyNumberFormat="1" applyFont="1" applyBorder="1" applyAlignment="1">
      <alignment horizontal="justify" vertical="top" wrapText="1"/>
    </xf>
    <xf numFmtId="0" fontId="5" fillId="0" borderId="9" xfId="0" applyFont="1" applyBorder="1" applyAlignment="1">
      <alignment horizontal="center" vertical="top" wrapText="1"/>
    </xf>
    <xf numFmtId="0" fontId="5" fillId="0" borderId="0" xfId="0" applyFont="1" applyAlignment="1">
      <alignment horizontal="left"/>
    </xf>
    <xf numFmtId="168" fontId="5" fillId="0" borderId="6" xfId="0" applyNumberFormat="1" applyFont="1" applyBorder="1" applyAlignment="1">
      <alignment horizontal="left" vertical="top" wrapText="1"/>
    </xf>
    <xf numFmtId="168" fontId="5" fillId="0" borderId="1" xfId="0" applyNumberFormat="1" applyFont="1" applyBorder="1" applyAlignment="1">
      <alignment horizontal="left" vertical="top" wrapText="1"/>
    </xf>
    <xf numFmtId="0" fontId="5" fillId="0" borderId="6" xfId="0" applyFont="1" applyBorder="1" applyAlignment="1">
      <alignment horizontal="left" vertical="top" wrapText="1"/>
    </xf>
    <xf numFmtId="0" fontId="5" fillId="0" borderId="1" xfId="0" applyFont="1" applyBorder="1" applyAlignment="1">
      <alignment horizontal="left" vertical="top" wrapText="1"/>
    </xf>
    <xf numFmtId="0" fontId="4" fillId="0" borderId="7" xfId="0" applyFont="1" applyBorder="1" applyAlignment="1">
      <alignment horizontal="center" vertical="top" wrapText="1"/>
    </xf>
    <xf numFmtId="0" fontId="4" fillId="0" borderId="6" xfId="0" applyFont="1" applyBorder="1" applyAlignment="1">
      <alignment horizontal="justify" vertical="top" wrapText="1"/>
    </xf>
    <xf numFmtId="0" fontId="4" fillId="0" borderId="0" xfId="0" applyFont="1" applyAlignment="1">
      <alignment horizontal="left"/>
    </xf>
    <xf numFmtId="0" fontId="5" fillId="0" borderId="0" xfId="0" applyFont="1" applyBorder="1" applyAlignment="1">
      <alignment horizontal="left" vertical="top" wrapText="1"/>
    </xf>
    <xf numFmtId="0" fontId="5" fillId="0" borderId="0" xfId="0" applyFont="1" applyAlignment="1" applyProtection="1">
      <alignment horizontal="center" vertical="top" wrapText="1"/>
    </xf>
    <xf numFmtId="0" fontId="5" fillId="0" borderId="10" xfId="0" applyFont="1" applyBorder="1" applyAlignment="1">
      <alignment horizontal="left" vertical="top" wrapText="1"/>
    </xf>
    <xf numFmtId="0" fontId="4" fillId="0" borderId="5" xfId="0" applyFont="1" applyBorder="1"/>
    <xf numFmtId="0" fontId="4" fillId="0" borderId="14" xfId="0" applyFont="1" applyBorder="1"/>
    <xf numFmtId="0" fontId="5" fillId="0" borderId="13" xfId="0" applyFont="1" applyBorder="1"/>
    <xf numFmtId="0" fontId="5" fillId="0" borderId="5" xfId="0" applyFont="1" applyBorder="1"/>
    <xf numFmtId="0" fontId="4" fillId="0" borderId="0" xfId="0" applyFont="1" applyBorder="1" applyAlignment="1">
      <alignment horizontal="center"/>
    </xf>
    <xf numFmtId="168" fontId="5" fillId="0" borderId="6" xfId="0" applyNumberFormat="1" applyFont="1" applyBorder="1" applyAlignment="1">
      <alignment vertical="top" wrapText="1"/>
    </xf>
    <xf numFmtId="168" fontId="4" fillId="0" borderId="6" xfId="0" applyNumberFormat="1" applyFont="1" applyBorder="1" applyAlignment="1">
      <alignment horizontal="justify" vertical="top" wrapText="1"/>
    </xf>
    <xf numFmtId="0" fontId="5" fillId="0" borderId="12" xfId="0" applyFont="1" applyBorder="1" applyAlignment="1">
      <alignment horizontal="left" vertical="top" wrapText="1"/>
    </xf>
    <xf numFmtId="0" fontId="4" fillId="0" borderId="6" xfId="0" applyFont="1" applyBorder="1"/>
    <xf numFmtId="0" fontId="5" fillId="0" borderId="0" xfId="0" applyFont="1" applyBorder="1"/>
    <xf numFmtId="0" fontId="4" fillId="0" borderId="0" xfId="0" applyFont="1" applyBorder="1"/>
    <xf numFmtId="0" fontId="34" fillId="0" borderId="6" xfId="0" applyFont="1" applyBorder="1"/>
    <xf numFmtId="168" fontId="5" fillId="0" borderId="0" xfId="0" applyNumberFormat="1" applyFont="1" applyBorder="1" applyAlignment="1">
      <alignment horizontal="right"/>
    </xf>
    <xf numFmtId="168" fontId="5" fillId="0" borderId="6" xfId="0" applyNumberFormat="1" applyFont="1" applyBorder="1" applyAlignment="1">
      <alignment horizontal="right"/>
    </xf>
    <xf numFmtId="0" fontId="35" fillId="0" borderId="0" xfId="0" applyFont="1"/>
    <xf numFmtId="0" fontId="36" fillId="0" borderId="0" xfId="0" applyFont="1"/>
    <xf numFmtId="0" fontId="5" fillId="0" borderId="3" xfId="0" applyFont="1" applyBorder="1" applyAlignment="1">
      <alignment horizontal="right"/>
    </xf>
    <xf numFmtId="0" fontId="5" fillId="0" borderId="1" xfId="0" applyFont="1" applyBorder="1" applyAlignment="1">
      <alignment horizontal="right"/>
    </xf>
    <xf numFmtId="0" fontId="5" fillId="0" borderId="16" xfId="0" applyFont="1" applyBorder="1"/>
    <xf numFmtId="168" fontId="5" fillId="0" borderId="36" xfId="0" applyNumberFormat="1" applyFont="1" applyBorder="1"/>
    <xf numFmtId="0" fontId="5" fillId="0" borderId="0" xfId="0" applyFont="1" applyFill="1"/>
    <xf numFmtId="0" fontId="5" fillId="0" borderId="18" xfId="0" applyFont="1" applyBorder="1"/>
    <xf numFmtId="0" fontId="5" fillId="0" borderId="7" xfId="0" applyFont="1" applyBorder="1" applyAlignment="1">
      <alignment horizontal="center"/>
    </xf>
    <xf numFmtId="0" fontId="5" fillId="0" borderId="0" xfId="0" applyFont="1" applyAlignment="1">
      <alignment vertical="center"/>
    </xf>
    <xf numFmtId="0" fontId="32" fillId="0" borderId="6" xfId="0" applyFont="1" applyBorder="1" applyAlignment="1">
      <alignment horizontal="center" vertical="top" wrapText="1"/>
    </xf>
    <xf numFmtId="0" fontId="32" fillId="0" borderId="6" xfId="0" applyFont="1" applyBorder="1" applyAlignment="1">
      <alignment horizontal="justify" vertical="top" wrapText="1"/>
    </xf>
    <xf numFmtId="0" fontId="5" fillId="0" borderId="0" xfId="0" applyFont="1" applyBorder="1" applyAlignment="1">
      <alignment horizontal="left" indent="2"/>
    </xf>
    <xf numFmtId="0" fontId="5" fillId="0" borderId="0" xfId="0" applyFont="1" applyBorder="1" applyAlignment="1">
      <alignment horizontal="left" indent="1"/>
    </xf>
    <xf numFmtId="0" fontId="4" fillId="0" borderId="6" xfId="0" applyFont="1" applyBorder="1" applyAlignment="1">
      <alignment horizontal="center"/>
    </xf>
    <xf numFmtId="1" fontId="5" fillId="0" borderId="0" xfId="0" applyNumberFormat="1" applyFont="1"/>
    <xf numFmtId="0" fontId="5" fillId="0" borderId="24" xfId="0" applyFont="1" applyBorder="1"/>
    <xf numFmtId="0" fontId="5" fillId="0" borderId="15" xfId="0" applyFont="1" applyBorder="1"/>
    <xf numFmtId="0" fontId="5" fillId="0" borderId="17" xfId="0" applyFont="1" applyBorder="1"/>
    <xf numFmtId="0" fontId="5" fillId="0" borderId="6" xfId="0" applyFont="1" applyBorder="1" applyAlignment="1">
      <alignment horizontal="left" vertical="top" wrapText="1"/>
    </xf>
    <xf numFmtId="0" fontId="5" fillId="0" borderId="0" xfId="0" applyFont="1" applyBorder="1"/>
    <xf numFmtId="0" fontId="5" fillId="0" borderId="2" xfId="1" applyNumberFormat="1" applyFont="1" applyBorder="1"/>
    <xf numFmtId="0" fontId="5" fillId="0" borderId="0" xfId="0" applyFont="1" applyBorder="1"/>
    <xf numFmtId="168" fontId="20" fillId="0" borderId="9" xfId="1" applyNumberFormat="1" applyFont="1" applyBorder="1" applyAlignment="1">
      <alignment vertical="top"/>
    </xf>
    <xf numFmtId="168" fontId="3" fillId="5" borderId="6" xfId="0" applyNumberFormat="1" applyFont="1" applyFill="1" applyBorder="1"/>
    <xf numFmtId="168" fontId="5" fillId="0" borderId="14" xfId="0" applyNumberFormat="1" applyFont="1" applyFill="1" applyBorder="1"/>
    <xf numFmtId="0" fontId="3" fillId="0" borderId="6" xfId="0" applyNumberFormat="1" applyFont="1" applyBorder="1" applyAlignment="1"/>
    <xf numFmtId="0" fontId="3" fillId="0" borderId="0" xfId="0" applyNumberFormat="1" applyFont="1" applyBorder="1"/>
    <xf numFmtId="168" fontId="3" fillId="0" borderId="14" xfId="0" applyNumberFormat="1" applyFont="1" applyFill="1" applyBorder="1"/>
    <xf numFmtId="168" fontId="3" fillId="0" borderId="6" xfId="0" applyNumberFormat="1" applyFont="1" applyFill="1" applyBorder="1"/>
    <xf numFmtId="168" fontId="3" fillId="0" borderId="4" xfId="0" applyNumberFormat="1" applyFont="1" applyFill="1" applyBorder="1"/>
    <xf numFmtId="168" fontId="4" fillId="0" borderId="6" xfId="1" applyNumberFormat="1" applyFont="1" applyBorder="1"/>
    <xf numFmtId="0" fontId="5" fillId="0" borderId="0" xfId="0" applyNumberFormat="1" applyFont="1"/>
    <xf numFmtId="0" fontId="5" fillId="0" borderId="0" xfId="0" applyFont="1" applyBorder="1"/>
    <xf numFmtId="0" fontId="5" fillId="0" borderId="1" xfId="0" applyNumberFormat="1" applyFont="1" applyBorder="1"/>
    <xf numFmtId="0" fontId="5" fillId="0" borderId="9" xfId="0" applyNumberFormat="1" applyFont="1" applyBorder="1"/>
    <xf numFmtId="0" fontId="5" fillId="0" borderId="2" xfId="0" applyNumberFormat="1" applyFont="1" applyBorder="1"/>
    <xf numFmtId="168" fontId="4" fillId="0" borderId="11" xfId="0" applyNumberFormat="1" applyFont="1" applyBorder="1" applyAlignment="1">
      <alignment horizontal="justify" vertical="top" wrapText="1"/>
    </xf>
    <xf numFmtId="168" fontId="4" fillId="0" borderId="3" xfId="0" applyNumberFormat="1" applyFont="1" applyBorder="1" applyAlignment="1">
      <alignment horizontal="justify" vertical="top" wrapText="1"/>
    </xf>
    <xf numFmtId="0" fontId="3" fillId="0" borderId="10" xfId="0" applyNumberFormat="1" applyFont="1" applyBorder="1"/>
    <xf numFmtId="0" fontId="3" fillId="0" borderId="12" xfId="0" applyNumberFormat="1" applyFont="1" applyBorder="1"/>
    <xf numFmtId="0" fontId="5" fillId="0" borderId="6" xfId="0" applyNumberFormat="1" applyFont="1" applyBorder="1"/>
    <xf numFmtId="0" fontId="5" fillId="0" borderId="14" xfId="0" applyNumberFormat="1" applyFont="1" applyBorder="1"/>
    <xf numFmtId="0" fontId="5" fillId="0" borderId="7" xfId="0" applyNumberFormat="1" applyFont="1" applyBorder="1"/>
    <xf numFmtId="0" fontId="5" fillId="0" borderId="16" xfId="0" applyNumberFormat="1" applyFont="1" applyBorder="1"/>
    <xf numFmtId="0" fontId="5" fillId="0" borderId="6" xfId="1" applyNumberFormat="1" applyFont="1" applyBorder="1"/>
    <xf numFmtId="0" fontId="5" fillId="0" borderId="1" xfId="1" applyNumberFormat="1" applyFont="1" applyBorder="1"/>
    <xf numFmtId="43" fontId="0" fillId="0" borderId="0" xfId="0" applyNumberFormat="1"/>
    <xf numFmtId="168" fontId="3" fillId="0" borderId="1" xfId="0" applyNumberFormat="1" applyFont="1" applyFill="1" applyBorder="1"/>
    <xf numFmtId="171" fontId="20" fillId="0" borderId="16" xfId="1" applyNumberFormat="1" applyFont="1" applyBorder="1" applyAlignment="1">
      <alignment vertical="top"/>
    </xf>
    <xf numFmtId="172" fontId="20" fillId="0" borderId="9" xfId="1" applyNumberFormat="1" applyFont="1" applyBorder="1" applyAlignment="1">
      <alignment vertical="top"/>
    </xf>
    <xf numFmtId="0" fontId="5" fillId="0" borderId="3" xfId="0" quotePrefix="1" applyFont="1" applyBorder="1"/>
    <xf numFmtId="168" fontId="5" fillId="0" borderId="6" xfId="0" applyNumberFormat="1" applyFont="1" applyBorder="1" applyAlignment="1">
      <alignment horizontal="left" vertical="top" wrapText="1"/>
    </xf>
    <xf numFmtId="168" fontId="5" fillId="0" borderId="1" xfId="0" applyNumberFormat="1" applyFont="1" applyBorder="1" applyAlignment="1">
      <alignment horizontal="left" vertical="top" wrapText="1"/>
    </xf>
    <xf numFmtId="0" fontId="5" fillId="0" borderId="6" xfId="0" applyFont="1" applyBorder="1" applyAlignment="1">
      <alignment horizontal="left" vertical="top" wrapText="1"/>
    </xf>
    <xf numFmtId="168" fontId="4" fillId="0" borderId="6" xfId="0" applyNumberFormat="1" applyFont="1" applyBorder="1" applyAlignment="1">
      <alignment horizontal="center" vertical="top" wrapText="1"/>
    </xf>
    <xf numFmtId="168" fontId="5" fillId="0" borderId="6" xfId="0" applyNumberFormat="1" applyFont="1" applyBorder="1" applyAlignment="1">
      <alignment horizontal="center" vertical="top" wrapText="1"/>
    </xf>
    <xf numFmtId="168" fontId="5" fillId="0" borderId="7" xfId="0" applyNumberFormat="1" applyFont="1" applyBorder="1" applyAlignment="1">
      <alignment horizontal="center"/>
    </xf>
    <xf numFmtId="168" fontId="11" fillId="0" borderId="0" xfId="0" applyNumberFormat="1" applyFont="1" applyAlignment="1">
      <alignment horizontal="left"/>
    </xf>
    <xf numFmtId="168" fontId="4" fillId="0" borderId="0" xfId="0" applyNumberFormat="1" applyFont="1" applyAlignment="1">
      <alignment horizontal="left"/>
    </xf>
    <xf numFmtId="168" fontId="5" fillId="0" borderId="0" xfId="0" applyNumberFormat="1" applyFont="1" applyAlignment="1">
      <alignment horizontal="left"/>
    </xf>
    <xf numFmtId="168" fontId="5" fillId="0" borderId="9" xfId="0" applyNumberFormat="1" applyFont="1" applyBorder="1" applyAlignment="1">
      <alignment horizontal="center" vertical="top" wrapText="1"/>
    </xf>
    <xf numFmtId="168" fontId="4" fillId="0" borderId="6" xfId="0" applyNumberFormat="1" applyFont="1" applyBorder="1" applyAlignment="1">
      <alignment horizontal="justify" vertical="top" wrapText="1"/>
    </xf>
    <xf numFmtId="168" fontId="12" fillId="0" borderId="6" xfId="0" applyNumberFormat="1" applyFont="1" applyBorder="1" applyAlignment="1">
      <alignment horizontal="left" vertical="top" wrapText="1" indent="2"/>
    </xf>
    <xf numFmtId="0" fontId="5" fillId="0" borderId="0" xfId="0" applyFont="1" applyBorder="1"/>
    <xf numFmtId="1" fontId="5" fillId="0" borderId="1" xfId="0" applyNumberFormat="1" applyFont="1" applyBorder="1" applyAlignment="1">
      <alignment horizontal="right"/>
    </xf>
    <xf numFmtId="168" fontId="5" fillId="0" borderId="0" xfId="0" applyNumberFormat="1" applyFont="1" applyFill="1" applyBorder="1"/>
    <xf numFmtId="0" fontId="5" fillId="0" borderId="0" xfId="0" applyFont="1" applyBorder="1" applyAlignment="1"/>
    <xf numFmtId="168" fontId="3" fillId="0" borderId="6" xfId="0" applyNumberFormat="1" applyFont="1" applyBorder="1" applyAlignment="1"/>
    <xf numFmtId="168" fontId="3" fillId="0" borderId="0" xfId="0" applyNumberFormat="1" applyFont="1" applyBorder="1" applyAlignment="1"/>
    <xf numFmtId="168" fontId="5" fillId="0" borderId="6" xfId="0" applyNumberFormat="1" applyFont="1" applyFill="1" applyBorder="1" applyAlignment="1">
      <alignment horizontal="center" vertical="top"/>
    </xf>
    <xf numFmtId="168" fontId="5" fillId="0" borderId="0" xfId="0" applyNumberFormat="1" applyFont="1" applyFill="1" applyBorder="1" applyAlignment="1">
      <alignment horizontal="center" vertical="top"/>
    </xf>
    <xf numFmtId="0" fontId="5" fillId="0" borderId="0" xfId="0" applyFont="1" applyFill="1" applyBorder="1" applyAlignment="1"/>
    <xf numFmtId="168" fontId="4" fillId="0" borderId="0" xfId="0" applyNumberFormat="1" applyFont="1" applyFill="1" applyBorder="1"/>
    <xf numFmtId="168" fontId="5" fillId="0" borderId="24" xfId="0" applyNumberFormat="1" applyFont="1" applyBorder="1"/>
    <xf numFmtId="0" fontId="4" fillId="0" borderId="6" xfId="0" applyFont="1" applyBorder="1" applyAlignment="1">
      <alignment horizontal="justify" vertical="top" wrapText="1"/>
    </xf>
    <xf numFmtId="1" fontId="5" fillId="0" borderId="25" xfId="0" applyNumberFormat="1" applyFont="1" applyBorder="1"/>
    <xf numFmtId="168" fontId="5" fillId="0" borderId="25" xfId="0" applyNumberFormat="1" applyFont="1" applyBorder="1" applyAlignment="1">
      <alignment horizontal="right" vertical="top" wrapText="1"/>
    </xf>
    <xf numFmtId="168" fontId="5" fillId="0" borderId="25" xfId="0" applyNumberFormat="1" applyFont="1" applyBorder="1" applyAlignment="1">
      <alignment horizontal="justify" vertical="top" wrapText="1"/>
    </xf>
    <xf numFmtId="0" fontId="5" fillId="0" borderId="6" xfId="0" applyFont="1" applyFill="1" applyBorder="1" applyAlignment="1">
      <alignment horizontal="left" vertical="top" wrapText="1"/>
    </xf>
    <xf numFmtId="0" fontId="5" fillId="0" borderId="0" xfId="0" applyFont="1" applyBorder="1"/>
    <xf numFmtId="0" fontId="5" fillId="0" borderId="6" xfId="0" applyFont="1" applyFill="1" applyBorder="1" applyAlignment="1">
      <alignment wrapText="1"/>
    </xf>
    <xf numFmtId="168" fontId="5" fillId="0" borderId="25" xfId="0" applyNumberFormat="1" applyFont="1" applyBorder="1"/>
    <xf numFmtId="168" fontId="3" fillId="0" borderId="25" xfId="0" applyNumberFormat="1" applyFont="1" applyBorder="1" applyAlignment="1">
      <alignment horizontal="right" wrapText="1"/>
    </xf>
    <xf numFmtId="0" fontId="5" fillId="0" borderId="1" xfId="0" applyFont="1" applyFill="1" applyBorder="1" applyAlignment="1">
      <alignment vertical="top" wrapText="1"/>
    </xf>
    <xf numFmtId="168" fontId="5" fillId="0" borderId="6" xfId="0" applyNumberFormat="1" applyFont="1" applyBorder="1" applyAlignment="1">
      <alignment horizontal="left" vertical="top" wrapText="1"/>
    </xf>
    <xf numFmtId="0" fontId="5" fillId="0" borderId="0" xfId="0" applyFont="1" applyBorder="1"/>
    <xf numFmtId="174" fontId="20" fillId="0" borderId="9" xfId="1" applyNumberFormat="1" applyFont="1" applyBorder="1" applyAlignment="1">
      <alignment vertical="top"/>
    </xf>
    <xf numFmtId="2" fontId="5" fillId="0" borderId="1" xfId="0" applyNumberFormat="1" applyFont="1" applyBorder="1"/>
    <xf numFmtId="0" fontId="5" fillId="0" borderId="0" xfId="0" applyFont="1" applyBorder="1"/>
    <xf numFmtId="168" fontId="3" fillId="0" borderId="5" xfId="0" applyNumberFormat="1" applyFont="1" applyFill="1" applyBorder="1"/>
    <xf numFmtId="175" fontId="20" fillId="0" borderId="9" xfId="1" applyNumberFormat="1" applyFont="1" applyBorder="1" applyAlignment="1">
      <alignment vertical="top"/>
    </xf>
    <xf numFmtId="0" fontId="5" fillId="0" borderId="9" xfId="0" applyFont="1" applyBorder="1" applyAlignment="1">
      <alignment horizontal="center" vertical="top" wrapText="1"/>
    </xf>
    <xf numFmtId="168" fontId="5" fillId="0" borderId="6" xfId="0" applyNumberFormat="1" applyFont="1" applyBorder="1" applyAlignment="1">
      <alignment horizontal="left" vertical="top" wrapText="1"/>
    </xf>
    <xf numFmtId="0" fontId="5" fillId="0" borderId="0" xfId="0" applyFont="1" applyBorder="1"/>
    <xf numFmtId="168" fontId="5" fillId="0" borderId="6" xfId="0" applyNumberFormat="1" applyFont="1" applyFill="1" applyBorder="1" applyAlignment="1">
      <alignment horizontal="right" vertical="top" wrapText="1"/>
    </xf>
    <xf numFmtId="0" fontId="5" fillId="0" borderId="25" xfId="0" applyNumberFormat="1" applyFont="1" applyBorder="1"/>
    <xf numFmtId="168" fontId="5" fillId="0" borderId="6" xfId="0" applyNumberFormat="1" applyFont="1" applyBorder="1" applyAlignment="1">
      <alignment horizontal="left" vertical="top" wrapText="1"/>
    </xf>
    <xf numFmtId="0" fontId="5" fillId="0" borderId="0" xfId="0" applyFont="1" applyBorder="1"/>
    <xf numFmtId="0" fontId="5" fillId="0" borderId="25" xfId="0" applyFont="1" applyBorder="1" applyAlignment="1">
      <alignment horizontal="right" vertical="top" wrapText="1"/>
    </xf>
    <xf numFmtId="1" fontId="5" fillId="0" borderId="0" xfId="1" applyNumberFormat="1" applyFont="1" applyBorder="1"/>
    <xf numFmtId="0" fontId="4" fillId="7" borderId="0" xfId="0" applyFont="1" applyFill="1" applyAlignment="1">
      <alignment horizontal="justify"/>
    </xf>
    <xf numFmtId="0" fontId="5" fillId="7" borderId="0" xfId="0" applyFont="1" applyFill="1"/>
    <xf numFmtId="0" fontId="4" fillId="7" borderId="0" xfId="0" applyFont="1" applyFill="1"/>
    <xf numFmtId="0" fontId="5" fillId="7" borderId="7" xfId="0" applyFont="1" applyFill="1" applyBorder="1"/>
    <xf numFmtId="0" fontId="5" fillId="7" borderId="9" xfId="0" applyFont="1" applyFill="1" applyBorder="1"/>
    <xf numFmtId="0" fontId="4" fillId="7" borderId="10" xfId="0" applyFont="1" applyFill="1" applyBorder="1" applyAlignment="1">
      <alignment horizontal="left" vertical="top" wrapText="1" indent="2"/>
    </xf>
    <xf numFmtId="0" fontId="5" fillId="7" borderId="12" xfId="0" applyFont="1" applyFill="1" applyBorder="1"/>
    <xf numFmtId="0" fontId="5" fillId="7" borderId="6" xfId="0" applyFont="1" applyFill="1" applyBorder="1"/>
    <xf numFmtId="0" fontId="5" fillId="7" borderId="1" xfId="0" applyFont="1" applyFill="1" applyBorder="1"/>
    <xf numFmtId="0" fontId="5" fillId="7" borderId="0" xfId="0" applyFont="1" applyFill="1" applyBorder="1"/>
    <xf numFmtId="0" fontId="5" fillId="7" borderId="6" xfId="0" applyFont="1" applyFill="1" applyBorder="1" applyAlignment="1">
      <alignment horizontal="left" vertical="top" wrapText="1" indent="2"/>
    </xf>
    <xf numFmtId="0" fontId="5" fillId="7" borderId="6" xfId="0" applyFont="1" applyFill="1" applyBorder="1" applyAlignment="1">
      <alignment horizontal="left" vertical="top" wrapText="1" indent="4"/>
    </xf>
    <xf numFmtId="43" fontId="5" fillId="7" borderId="6" xfId="1" applyFont="1" applyFill="1" applyBorder="1"/>
    <xf numFmtId="43" fontId="5" fillId="7" borderId="0" xfId="1" applyFont="1" applyFill="1" applyBorder="1"/>
    <xf numFmtId="43" fontId="5" fillId="7" borderId="1" xfId="1" applyFont="1" applyFill="1" applyBorder="1"/>
    <xf numFmtId="43" fontId="5" fillId="7" borderId="14" xfId="1" applyFont="1" applyFill="1" applyBorder="1"/>
    <xf numFmtId="0" fontId="4" fillId="7" borderId="6" xfId="0" applyFont="1" applyFill="1" applyBorder="1" applyAlignment="1">
      <alignment horizontal="left" vertical="top" wrapText="1" indent="2"/>
    </xf>
    <xf numFmtId="0" fontId="5" fillId="7" borderId="14" xfId="0" applyFont="1" applyFill="1" applyBorder="1"/>
    <xf numFmtId="0" fontId="4" fillId="7" borderId="6" xfId="0" applyFont="1" applyFill="1" applyBorder="1" applyAlignment="1">
      <alignment vertical="top" wrapText="1"/>
    </xf>
    <xf numFmtId="0" fontId="4" fillId="7" borderId="14" xfId="0" applyFont="1" applyFill="1" applyBorder="1" applyAlignment="1">
      <alignment horizontal="justify" vertical="top" wrapText="1"/>
    </xf>
    <xf numFmtId="0" fontId="5" fillId="7" borderId="2" xfId="0" applyFont="1" applyFill="1" applyBorder="1"/>
    <xf numFmtId="0" fontId="4" fillId="7" borderId="9" xfId="0" applyFont="1" applyFill="1" applyBorder="1"/>
    <xf numFmtId="0" fontId="4" fillId="7" borderId="7" xfId="0" applyFont="1" applyFill="1" applyBorder="1"/>
    <xf numFmtId="168" fontId="4" fillId="7" borderId="0" xfId="0" applyNumberFormat="1" applyFont="1" applyFill="1" applyAlignment="1">
      <alignment horizontal="justify"/>
    </xf>
    <xf numFmtId="168" fontId="3" fillId="7" borderId="0" xfId="0" applyNumberFormat="1" applyFont="1" applyFill="1"/>
    <xf numFmtId="168" fontId="3" fillId="7" borderId="7" xfId="0" applyNumberFormat="1" applyFont="1" applyFill="1" applyBorder="1"/>
    <xf numFmtId="168" fontId="4" fillId="7" borderId="10" xfId="0" applyNumberFormat="1" applyFont="1" applyFill="1" applyBorder="1" applyAlignment="1">
      <alignment horizontal="left" vertical="top" wrapText="1" indent="2"/>
    </xf>
    <xf numFmtId="168" fontId="12" fillId="7" borderId="6" xfId="0" applyNumberFormat="1" applyFont="1" applyFill="1" applyBorder="1" applyAlignment="1">
      <alignment horizontal="left" vertical="top" wrapText="1" indent="2"/>
    </xf>
    <xf numFmtId="168" fontId="5" fillId="7" borderId="6" xfId="0" applyNumberFormat="1" applyFont="1" applyFill="1" applyBorder="1" applyAlignment="1">
      <alignment horizontal="left" vertical="top" wrapText="1" indent="4"/>
    </xf>
    <xf numFmtId="168" fontId="5" fillId="7" borderId="6" xfId="0" applyNumberFormat="1" applyFont="1" applyFill="1" applyBorder="1" applyAlignment="1">
      <alignment horizontal="left" vertical="top" wrapText="1" indent="2"/>
    </xf>
    <xf numFmtId="168" fontId="4" fillId="7" borderId="6" xfId="0" applyNumberFormat="1" applyFont="1" applyFill="1" applyBorder="1" applyAlignment="1">
      <alignment horizontal="left" vertical="top" wrapText="1" indent="2"/>
    </xf>
    <xf numFmtId="168" fontId="4" fillId="7" borderId="6" xfId="0" applyNumberFormat="1" applyFont="1" applyFill="1" applyBorder="1" applyAlignment="1">
      <alignment vertical="top" wrapText="1"/>
    </xf>
    <xf numFmtId="168" fontId="4" fillId="7" borderId="14" xfId="0" applyNumberFormat="1" applyFont="1" applyFill="1" applyBorder="1" applyAlignment="1">
      <alignment horizontal="justify" vertical="top" wrapText="1"/>
    </xf>
    <xf numFmtId="168" fontId="3" fillId="0" borderId="0" xfId="0" applyNumberFormat="1" applyFont="1" applyFill="1" applyBorder="1" applyAlignment="1"/>
    <xf numFmtId="168" fontId="5" fillId="0" borderId="6" xfId="0" applyNumberFormat="1" applyFont="1" applyBorder="1" applyAlignment="1">
      <alignment horizontal="left" vertical="top" wrapText="1"/>
    </xf>
    <xf numFmtId="0" fontId="5" fillId="0" borderId="0" xfId="0" applyFont="1" applyBorder="1"/>
    <xf numFmtId="168" fontId="5" fillId="0" borderId="9" xfId="0" applyNumberFormat="1" applyFont="1" applyBorder="1" applyAlignment="1">
      <alignment horizontal="center" vertical="top" wrapText="1"/>
    </xf>
    <xf numFmtId="168" fontId="5" fillId="0" borderId="6" xfId="0" applyNumberFormat="1" applyFont="1" applyFill="1" applyBorder="1" applyAlignment="1">
      <alignment horizontal="left" vertical="top" wrapText="1"/>
    </xf>
    <xf numFmtId="0" fontId="5" fillId="0" borderId="6" xfId="0" applyNumberFormat="1" applyFont="1" applyBorder="1" applyAlignment="1">
      <alignment horizontal="right"/>
    </xf>
    <xf numFmtId="0" fontId="5" fillId="0" borderId="6" xfId="0" applyFont="1" applyBorder="1" applyAlignment="1">
      <alignment horizontal="right"/>
    </xf>
    <xf numFmtId="168" fontId="3" fillId="6" borderId="6" xfId="0" applyNumberFormat="1" applyFont="1" applyFill="1" applyBorder="1"/>
    <xf numFmtId="0" fontId="4" fillId="0" borderId="6" xfId="0" applyFont="1" applyBorder="1" applyAlignment="1">
      <alignment horizontal="justify" vertical="top" wrapText="1"/>
    </xf>
    <xf numFmtId="168" fontId="4" fillId="0" borderId="6" xfId="0" applyNumberFormat="1" applyFont="1" applyBorder="1" applyAlignment="1">
      <alignment horizontal="justify" vertical="top" wrapText="1"/>
    </xf>
    <xf numFmtId="0" fontId="5" fillId="0" borderId="0" xfId="0" applyFont="1" applyBorder="1"/>
    <xf numFmtId="0" fontId="37" fillId="0" borderId="0" xfId="0" applyFont="1"/>
    <xf numFmtId="168" fontId="5" fillId="0" borderId="1" xfId="0" applyNumberFormat="1" applyFont="1" applyFill="1" applyBorder="1"/>
    <xf numFmtId="2" fontId="0" fillId="0" borderId="0" xfId="0" applyNumberFormat="1"/>
    <xf numFmtId="176" fontId="0" fillId="0" borderId="0" xfId="0" applyNumberFormat="1"/>
    <xf numFmtId="0" fontId="5" fillId="0" borderId="0" xfId="0" applyFont="1" applyBorder="1"/>
    <xf numFmtId="43" fontId="0" fillId="0" borderId="27" xfId="0" applyNumberFormat="1" applyBorder="1"/>
    <xf numFmtId="43" fontId="0" fillId="0" borderId="28" xfId="0" applyNumberFormat="1" applyBorder="1"/>
    <xf numFmtId="0" fontId="30" fillId="0" borderId="0" xfId="0" applyFont="1"/>
    <xf numFmtId="168" fontId="5" fillId="0" borderId="12" xfId="0" applyNumberFormat="1" applyFont="1" applyBorder="1" applyAlignment="1">
      <alignment wrapText="1"/>
    </xf>
    <xf numFmtId="0" fontId="42" fillId="0" borderId="0" xfId="0" applyFont="1"/>
    <xf numFmtId="0" fontId="4" fillId="0" borderId="0" xfId="3" applyFont="1" applyAlignment="1">
      <alignment horizontal="justify"/>
    </xf>
    <xf numFmtId="0" fontId="3" fillId="0" borderId="0" xfId="3" applyFont="1"/>
    <xf numFmtId="0" fontId="3" fillId="0" borderId="0" xfId="3" applyFont="1" applyAlignment="1">
      <alignment horizontal="right"/>
    </xf>
    <xf numFmtId="0" fontId="7" fillId="0" borderId="0" xfId="3" applyFont="1"/>
    <xf numFmtId="0" fontId="22" fillId="0" borderId="0" xfId="3" applyFont="1"/>
    <xf numFmtId="0" fontId="4" fillId="0" borderId="4" xfId="3" applyFont="1" applyBorder="1" applyAlignment="1">
      <alignment horizontal="left" vertical="center" wrapText="1" indent="1"/>
    </xf>
    <xf numFmtId="14" fontId="3" fillId="0" borderId="11" xfId="3" quotePrefix="1" applyNumberFormat="1" applyFont="1" applyBorder="1" applyAlignment="1">
      <alignment wrapText="1"/>
    </xf>
    <xf numFmtId="0" fontId="3" fillId="0" borderId="4" xfId="3" applyFont="1" applyBorder="1" applyAlignment="1">
      <alignment wrapText="1"/>
    </xf>
    <xf numFmtId="0" fontId="3" fillId="0" borderId="16" xfId="3" applyFont="1" applyBorder="1" applyAlignment="1">
      <alignment wrapText="1"/>
    </xf>
    <xf numFmtId="0" fontId="3" fillId="0" borderId="9" xfId="3" applyFont="1" applyBorder="1" applyAlignment="1">
      <alignment wrapText="1"/>
    </xf>
    <xf numFmtId="0" fontId="3" fillId="0" borderId="4" xfId="3" applyFont="1" applyBorder="1"/>
    <xf numFmtId="14" fontId="3" fillId="0" borderId="4" xfId="3" quotePrefix="1" applyNumberFormat="1" applyFont="1" applyBorder="1" applyAlignment="1">
      <alignment wrapText="1"/>
    </xf>
    <xf numFmtId="0" fontId="3" fillId="0" borderId="4" xfId="3" applyFont="1" applyBorder="1" applyAlignment="1">
      <alignment horizontal="right" wrapText="1"/>
    </xf>
    <xf numFmtId="0" fontId="5" fillId="0" borderId="6" xfId="3" applyFont="1" applyBorder="1" applyAlignment="1">
      <alignment horizontal="left" vertical="top" wrapText="1"/>
    </xf>
    <xf numFmtId="0" fontId="3" fillId="0" borderId="11" xfId="3" applyFont="1" applyBorder="1"/>
    <xf numFmtId="0" fontId="3" fillId="0" borderId="12" xfId="3" applyFont="1" applyBorder="1" applyAlignment="1">
      <alignment horizontal="right" vertical="top" wrapText="1"/>
    </xf>
    <xf numFmtId="0" fontId="3" fillId="0" borderId="3" xfId="3" applyFont="1" applyBorder="1"/>
    <xf numFmtId="0" fontId="3" fillId="0" borderId="11" xfId="3" applyFont="1" applyBorder="1" applyAlignment="1">
      <alignment horizontal="justify" vertical="top" wrapText="1"/>
    </xf>
    <xf numFmtId="0" fontId="3" fillId="0" borderId="13" xfId="3" applyFont="1" applyBorder="1" applyAlignment="1">
      <alignment horizontal="justify" vertical="top" wrapText="1"/>
    </xf>
    <xf numFmtId="0" fontId="3" fillId="0" borderId="11" xfId="3" applyFont="1" applyBorder="1" applyAlignment="1">
      <alignment horizontal="right" vertical="top" wrapText="1"/>
    </xf>
    <xf numFmtId="0" fontId="3" fillId="0" borderId="13" xfId="3" applyFont="1" applyBorder="1" applyAlignment="1">
      <alignment horizontal="right" vertical="top" wrapText="1"/>
    </xf>
    <xf numFmtId="0" fontId="5" fillId="0" borderId="3" xfId="3" quotePrefix="1" applyFont="1" applyBorder="1" applyAlignment="1">
      <alignment horizontal="justify" vertical="top" wrapText="1"/>
    </xf>
    <xf numFmtId="0" fontId="3" fillId="0" borderId="1" xfId="3" applyFont="1" applyBorder="1" applyAlignment="1">
      <alignment horizontal="right" vertical="top" wrapText="1"/>
    </xf>
    <xf numFmtId="0" fontId="3" fillId="0" borderId="3" xfId="3" applyFont="1" applyBorder="1" applyAlignment="1">
      <alignment horizontal="justify" vertical="top" wrapText="1"/>
    </xf>
    <xf numFmtId="0" fontId="3" fillId="0" borderId="0" xfId="3" applyFont="1" applyBorder="1" applyAlignment="1">
      <alignment horizontal="justify" vertical="top" wrapText="1"/>
    </xf>
    <xf numFmtId="0" fontId="3" fillId="0" borderId="3" xfId="3" applyFont="1" applyBorder="1" applyAlignment="1">
      <alignment horizontal="right" vertical="top" wrapText="1"/>
    </xf>
    <xf numFmtId="0" fontId="3" fillId="0" borderId="0" xfId="3" applyFont="1" applyBorder="1" applyAlignment="1">
      <alignment horizontal="right" vertical="top" wrapText="1"/>
    </xf>
    <xf numFmtId="0" fontId="5" fillId="0" borderId="3" xfId="3" applyFont="1" applyBorder="1" applyAlignment="1">
      <alignment horizontal="justify" vertical="top" wrapText="1"/>
    </xf>
    <xf numFmtId="0" fontId="3" fillId="0" borderId="3" xfId="3" applyFont="1" applyFill="1" applyBorder="1"/>
    <xf numFmtId="0" fontId="3" fillId="0" borderId="3" xfId="3" applyFont="1" applyBorder="1" applyAlignment="1">
      <alignment horizontal="justify" wrapText="1"/>
    </xf>
    <xf numFmtId="0" fontId="3" fillId="0" borderId="3" xfId="3" applyFont="1" applyBorder="1" applyAlignment="1">
      <alignment horizontal="right" wrapText="1"/>
    </xf>
    <xf numFmtId="0" fontId="5" fillId="0" borderId="6" xfId="3" applyFont="1" applyBorder="1" applyAlignment="1">
      <alignment horizontal="justify" vertical="top" wrapText="1"/>
    </xf>
    <xf numFmtId="0" fontId="3" fillId="0" borderId="8" xfId="3" applyFont="1" applyBorder="1" applyAlignment="1">
      <alignment horizontal="justify" vertical="top" wrapText="1"/>
    </xf>
    <xf numFmtId="0" fontId="5" fillId="0" borderId="4" xfId="3" applyFont="1" applyBorder="1" applyAlignment="1">
      <alignment horizontal="center" vertical="top" wrapText="1"/>
    </xf>
    <xf numFmtId="0" fontId="3" fillId="0" borderId="9" xfId="3" applyFont="1" applyBorder="1"/>
    <xf numFmtId="0" fontId="3" fillId="0" borderId="4" xfId="3" applyFont="1" applyBorder="1" applyAlignment="1">
      <alignment horizontal="right"/>
    </xf>
    <xf numFmtId="0" fontId="5" fillId="0" borderId="8" xfId="3" applyFont="1" applyBorder="1" applyAlignment="1">
      <alignment horizontal="center" vertical="top" wrapText="1"/>
    </xf>
    <xf numFmtId="0" fontId="3" fillId="0" borderId="8" xfId="3" applyFont="1" applyBorder="1"/>
    <xf numFmtId="0" fontId="3" fillId="0" borderId="5" xfId="3" applyFont="1" applyBorder="1"/>
    <xf numFmtId="0" fontId="3" fillId="0" borderId="8" xfId="3" applyFont="1" applyBorder="1" applyAlignment="1">
      <alignment horizontal="right"/>
    </xf>
    <xf numFmtId="0" fontId="5" fillId="0" borderId="0" xfId="3" applyFont="1"/>
    <xf numFmtId="0" fontId="4" fillId="0" borderId="0" xfId="3" applyFont="1"/>
    <xf numFmtId="0" fontId="4" fillId="0" borderId="4" xfId="3" applyFont="1" applyBorder="1" applyAlignment="1">
      <alignment vertical="top" wrapText="1"/>
    </xf>
    <xf numFmtId="14" fontId="3" fillId="0" borderId="4" xfId="3" applyNumberFormat="1" applyFont="1" applyBorder="1" applyAlignment="1">
      <alignment vertical="top" wrapText="1"/>
    </xf>
    <xf numFmtId="0" fontId="3" fillId="0" borderId="4" xfId="3" applyFont="1" applyBorder="1" applyAlignment="1">
      <alignment vertical="top" wrapText="1"/>
    </xf>
    <xf numFmtId="0" fontId="3" fillId="0" borderId="16" xfId="3" applyFont="1" applyBorder="1" applyAlignment="1">
      <alignment vertical="top" wrapText="1"/>
    </xf>
    <xf numFmtId="0" fontId="3" fillId="0" borderId="9" xfId="3" applyFont="1" applyBorder="1" applyAlignment="1">
      <alignment vertical="top" wrapText="1"/>
    </xf>
    <xf numFmtId="0" fontId="3" fillId="0" borderId="4" xfId="3" applyFont="1" applyBorder="1" applyAlignment="1">
      <alignment horizontal="right" vertical="top" wrapText="1"/>
    </xf>
    <xf numFmtId="0" fontId="5" fillId="0" borderId="3" xfId="3" applyFont="1" applyBorder="1" applyAlignment="1">
      <alignment horizontal="left" vertical="top" wrapText="1"/>
    </xf>
    <xf numFmtId="0" fontId="3" fillId="0" borderId="12" xfId="3" applyFont="1" applyBorder="1" applyAlignment="1">
      <alignment horizontal="justify" vertical="top" wrapText="1"/>
    </xf>
    <xf numFmtId="0" fontId="3" fillId="0" borderId="1" xfId="3" applyFont="1" applyBorder="1" applyAlignment="1">
      <alignment horizontal="justify" vertical="top" wrapText="1"/>
    </xf>
    <xf numFmtId="0" fontId="3" fillId="0" borderId="1" xfId="3" applyFont="1" applyFill="1" applyBorder="1" applyAlignment="1">
      <alignment horizontal="right" vertical="top" wrapText="1"/>
    </xf>
    <xf numFmtId="0" fontId="3" fillId="0" borderId="1" xfId="3" applyFont="1" applyFill="1" applyBorder="1" applyAlignment="1">
      <alignment horizontal="justify" vertical="top" wrapText="1"/>
    </xf>
    <xf numFmtId="0" fontId="3" fillId="0" borderId="2" xfId="3" applyFont="1" applyBorder="1"/>
    <xf numFmtId="1" fontId="22" fillId="0" borderId="0" xfId="3" applyNumberFormat="1" applyFont="1" applyBorder="1"/>
    <xf numFmtId="1" fontId="22" fillId="0" borderId="0" xfId="3" applyNumberFormat="1" applyFont="1"/>
    <xf numFmtId="1" fontId="3" fillId="0" borderId="0" xfId="3" applyNumberFormat="1" applyFont="1"/>
    <xf numFmtId="0" fontId="4" fillId="0" borderId="4" xfId="3" applyFont="1" applyBorder="1" applyAlignment="1">
      <alignment horizontal="center" vertical="center" wrapText="1"/>
    </xf>
    <xf numFmtId="14" fontId="3" fillId="0" borderId="4" xfId="3" quotePrefix="1" applyNumberFormat="1" applyFont="1" applyBorder="1" applyAlignment="1">
      <alignment vertical="top" wrapText="1"/>
    </xf>
    <xf numFmtId="0" fontId="3" fillId="0" borderId="9" xfId="3" quotePrefix="1" applyFont="1" applyBorder="1" applyAlignment="1">
      <alignment vertical="top" wrapText="1"/>
    </xf>
    <xf numFmtId="0" fontId="3" fillId="0" borderId="8" xfId="3" applyFont="1" applyBorder="1" applyAlignment="1">
      <alignment horizontal="right" vertical="top" wrapText="1"/>
    </xf>
    <xf numFmtId="0" fontId="3" fillId="0" borderId="3" xfId="3" applyFont="1" applyBorder="1" applyAlignment="1">
      <alignment horizontal="left" vertical="top" wrapText="1"/>
    </xf>
    <xf numFmtId="0" fontId="4" fillId="0" borderId="4" xfId="3" applyFont="1" applyBorder="1" applyAlignment="1">
      <alignment horizontal="center" vertical="center"/>
    </xf>
    <xf numFmtId="0" fontId="3" fillId="0" borderId="11" xfId="3" applyFont="1" applyBorder="1" applyAlignment="1">
      <alignment horizontal="center" vertical="top" wrapText="1"/>
    </xf>
    <xf numFmtId="0" fontId="3" fillId="0" borderId="11" xfId="3" applyFont="1" applyBorder="1" applyAlignment="1">
      <alignment vertical="top" wrapText="1"/>
    </xf>
    <xf numFmtId="0" fontId="3" fillId="0" borderId="12" xfId="3" applyFont="1" applyBorder="1" applyAlignment="1">
      <alignment vertical="top" wrapText="1"/>
    </xf>
    <xf numFmtId="0" fontId="3" fillId="0" borderId="11" xfId="3" applyFont="1" applyBorder="1" applyAlignment="1">
      <alignment horizontal="right"/>
    </xf>
    <xf numFmtId="0" fontId="3" fillId="0" borderId="3" xfId="3" applyFont="1" applyBorder="1" applyAlignment="1">
      <alignment horizontal="right"/>
    </xf>
    <xf numFmtId="0" fontId="3" fillId="0" borderId="5" xfId="3" applyFont="1" applyBorder="1" applyAlignment="1">
      <alignment horizontal="right"/>
    </xf>
    <xf numFmtId="0" fontId="3" fillId="0" borderId="2" xfId="3" applyFont="1" applyBorder="1" applyAlignment="1">
      <alignment horizontal="right"/>
    </xf>
    <xf numFmtId="0" fontId="4" fillId="0" borderId="0" xfId="3" applyFont="1" applyAlignment="1">
      <alignment horizontal="left"/>
    </xf>
    <xf numFmtId="168" fontId="3" fillId="0" borderId="3" xfId="3" applyNumberFormat="1" applyFont="1" applyBorder="1"/>
    <xf numFmtId="168" fontId="3" fillId="0" borderId="0" xfId="3" applyNumberFormat="1" applyFont="1" applyBorder="1" applyAlignment="1">
      <alignment horizontal="right" vertical="top" wrapText="1"/>
    </xf>
    <xf numFmtId="0" fontId="5" fillId="0" borderId="3" xfId="3" applyFont="1" applyBorder="1" applyAlignment="1">
      <alignment horizontal="justify" vertical="top"/>
    </xf>
    <xf numFmtId="168" fontId="3" fillId="0" borderId="0" xfId="3" applyNumberFormat="1" applyFont="1" applyBorder="1" applyAlignment="1">
      <alignment horizontal="justify" vertical="top" wrapText="1"/>
    </xf>
    <xf numFmtId="0" fontId="22" fillId="0" borderId="8" xfId="3" applyFont="1" applyBorder="1"/>
    <xf numFmtId="168" fontId="3" fillId="0" borderId="4" xfId="3" applyNumberFormat="1" applyFont="1" applyBorder="1"/>
    <xf numFmtId="0" fontId="4" fillId="0" borderId="0" xfId="3" applyFont="1" applyFill="1"/>
    <xf numFmtId="0" fontId="22" fillId="0" borderId="0" xfId="3" applyFont="1" applyFill="1" applyBorder="1" applyAlignment="1">
      <alignment horizontal="center" vertical="top" wrapText="1"/>
    </xf>
    <xf numFmtId="0" fontId="22" fillId="0" borderId="0" xfId="3" applyFont="1" applyFill="1"/>
    <xf numFmtId="0" fontId="5" fillId="0" borderId="4" xfId="3" applyFont="1" applyBorder="1"/>
    <xf numFmtId="167" fontId="0" fillId="0" borderId="31" xfId="1" applyNumberFormat="1" applyFont="1" applyBorder="1"/>
    <xf numFmtId="14" fontId="0" fillId="0" borderId="31" xfId="0" applyNumberFormat="1" applyBorder="1"/>
    <xf numFmtId="167" fontId="0" fillId="0" borderId="31" xfId="0" applyNumberFormat="1" applyBorder="1"/>
    <xf numFmtId="167" fontId="0" fillId="0" borderId="0" xfId="0" applyNumberFormat="1"/>
    <xf numFmtId="0" fontId="42" fillId="0" borderId="31" xfId="0" applyFont="1" applyBorder="1"/>
    <xf numFmtId="14" fontId="42" fillId="0" borderId="31" xfId="0" applyNumberFormat="1" applyFont="1" applyBorder="1" applyAlignment="1">
      <alignment horizontal="center"/>
    </xf>
    <xf numFmtId="167" fontId="42" fillId="0" borderId="31" xfId="1" applyNumberFormat="1" applyFont="1" applyBorder="1"/>
    <xf numFmtId="167" fontId="42" fillId="0" borderId="31" xfId="0" applyNumberFormat="1" applyFont="1" applyBorder="1"/>
    <xf numFmtId="0" fontId="42" fillId="0" borderId="31" xfId="0" applyFont="1" applyBorder="1" applyAlignment="1">
      <alignment wrapText="1"/>
    </xf>
    <xf numFmtId="0" fontId="41" fillId="0" borderId="31" xfId="0" applyFont="1" applyBorder="1"/>
    <xf numFmtId="167" fontId="41" fillId="0" borderId="31" xfId="1" applyNumberFormat="1" applyFont="1" applyBorder="1"/>
    <xf numFmtId="167" fontId="41" fillId="0" borderId="31" xfId="1" applyNumberFormat="1" applyFont="1" applyBorder="1" applyAlignment="1">
      <alignment horizontal="right" vertical="center"/>
    </xf>
    <xf numFmtId="167" fontId="41" fillId="0" borderId="31" xfId="0" applyNumberFormat="1" applyFont="1" applyBorder="1"/>
    <xf numFmtId="0" fontId="0" fillId="0" borderId="31" xfId="0" applyBorder="1" applyAlignment="1">
      <alignment wrapText="1"/>
    </xf>
    <xf numFmtId="43" fontId="0" fillId="0" borderId="53" xfId="1" applyNumberFormat="1" applyFont="1" applyFill="1" applyBorder="1"/>
    <xf numFmtId="14" fontId="0" fillId="0" borderId="31" xfId="0" applyNumberFormat="1" applyBorder="1" applyAlignment="1">
      <alignment horizontal="center" vertical="center"/>
    </xf>
    <xf numFmtId="167" fontId="0" fillId="0" borderId="31" xfId="1" applyNumberFormat="1" applyFont="1" applyFill="1" applyBorder="1"/>
    <xf numFmtId="0" fontId="42" fillId="0" borderId="0" xfId="0" applyFont="1" applyAlignment="1">
      <alignment wrapText="1"/>
    </xf>
    <xf numFmtId="0" fontId="176" fillId="0" borderId="31" xfId="2" applyFont="1" applyFill="1" applyBorder="1" applyAlignment="1">
      <alignment horizontal="left" vertical="center"/>
    </xf>
    <xf numFmtId="0" fontId="177" fillId="0" borderId="31" xfId="2" applyFont="1" applyFill="1" applyBorder="1" applyAlignment="1">
      <alignment horizontal="center" vertical="center" wrapText="1"/>
    </xf>
    <xf numFmtId="0" fontId="41" fillId="0" borderId="0" xfId="0" applyFont="1"/>
    <xf numFmtId="43" fontId="177" fillId="0" borderId="31" xfId="1" applyFont="1" applyFill="1" applyBorder="1" applyAlignment="1">
      <alignment horizontal="center" vertical="center" wrapText="1"/>
    </xf>
    <xf numFmtId="43" fontId="175" fillId="0" borderId="31" xfId="1" applyFont="1" applyFill="1" applyBorder="1" applyAlignment="1">
      <alignment horizontal="center" vertical="center" wrapText="1"/>
    </xf>
    <xf numFmtId="0" fontId="175" fillId="0" borderId="31" xfId="2" applyFont="1" applyFill="1" applyBorder="1" applyAlignment="1">
      <alignment horizontal="left" vertical="center"/>
    </xf>
    <xf numFmtId="167" fontId="2" fillId="0" borderId="31" xfId="0" applyNumberFormat="1" applyFont="1" applyBorder="1"/>
    <xf numFmtId="14" fontId="2" fillId="0" borderId="31" xfId="0" applyNumberFormat="1" applyFont="1" applyBorder="1"/>
    <xf numFmtId="0" fontId="2" fillId="0" borderId="31" xfId="0" applyNumberFormat="1" applyFont="1" applyBorder="1"/>
    <xf numFmtId="14" fontId="42" fillId="0" borderId="31" xfId="0" applyNumberFormat="1" applyFont="1" applyBorder="1"/>
    <xf numFmtId="0" fontId="41" fillId="73" borderId="31" xfId="0" applyFont="1" applyFill="1" applyBorder="1"/>
    <xf numFmtId="0" fontId="41" fillId="73" borderId="31" xfId="0" applyFont="1" applyFill="1" applyBorder="1" applyAlignment="1">
      <alignment horizontal="right"/>
    </xf>
    <xf numFmtId="0" fontId="41" fillId="73" borderId="31" xfId="0" applyFont="1" applyFill="1" applyBorder="1" applyAlignment="1">
      <alignment wrapText="1"/>
    </xf>
    <xf numFmtId="2" fontId="30" fillId="73" borderId="31" xfId="0" applyNumberFormat="1" applyFont="1" applyFill="1" applyBorder="1"/>
    <xf numFmtId="43" fontId="40" fillId="0" borderId="0" xfId="1" applyFont="1" applyFill="1" applyBorder="1" applyAlignment="1">
      <alignment horizontal="left" vertical="center"/>
    </xf>
    <xf numFmtId="0" fontId="176" fillId="0" borderId="0" xfId="2" applyFont="1" applyFill="1" applyBorder="1" applyAlignment="1">
      <alignment horizontal="left" vertical="center"/>
    </xf>
    <xf numFmtId="43" fontId="176" fillId="0" borderId="0" xfId="1" applyFont="1" applyFill="1" applyBorder="1" applyAlignment="1">
      <alignment horizontal="left" vertical="center"/>
    </xf>
    <xf numFmtId="39" fontId="177" fillId="31" borderId="0" xfId="3" applyNumberFormat="1" applyFont="1" applyFill="1" applyBorder="1" applyAlignment="1" applyProtection="1">
      <alignment horizontal="left" vertical="center"/>
    </xf>
    <xf numFmtId="0" fontId="177" fillId="0" borderId="0" xfId="380" applyFont="1" applyFill="1" applyBorder="1" applyAlignment="1">
      <alignment vertical="center"/>
    </xf>
    <xf numFmtId="0" fontId="177" fillId="0" borderId="0" xfId="380" applyFont="1" applyFill="1" applyBorder="1" applyAlignment="1">
      <alignment horizontal="right" vertical="center"/>
    </xf>
    <xf numFmtId="0" fontId="176" fillId="0" borderId="31" xfId="2" applyFont="1" applyFill="1" applyBorder="1" applyAlignment="1">
      <alignment horizontal="left" vertical="center" wrapText="1"/>
    </xf>
    <xf numFmtId="0" fontId="177" fillId="0" borderId="31" xfId="2" applyFont="1" applyFill="1" applyBorder="1" applyAlignment="1">
      <alignment horizontal="left" vertical="center" wrapText="1"/>
    </xf>
    <xf numFmtId="1" fontId="176" fillId="0" borderId="31" xfId="2" applyNumberFormat="1" applyFont="1" applyFill="1" applyBorder="1" applyAlignment="1">
      <alignment horizontal="left" vertical="center" wrapText="1"/>
    </xf>
    <xf numFmtId="43" fontId="176" fillId="0" borderId="31" xfId="1" applyFont="1" applyFill="1" applyBorder="1" applyAlignment="1">
      <alignment horizontal="center" vertical="center" wrapText="1"/>
    </xf>
    <xf numFmtId="43" fontId="176" fillId="0" borderId="31" xfId="1" applyFont="1" applyFill="1" applyBorder="1" applyAlignment="1">
      <alignment horizontal="center" vertical="center"/>
    </xf>
    <xf numFmtId="43" fontId="176" fillId="0" borderId="31" xfId="1" applyFont="1" applyFill="1" applyBorder="1" applyAlignment="1">
      <alignment horizontal="left" vertical="center"/>
    </xf>
    <xf numFmtId="43" fontId="176" fillId="0" borderId="31" xfId="1" applyFont="1" applyFill="1" applyBorder="1" applyAlignment="1">
      <alignment horizontal="right" vertical="center"/>
    </xf>
    <xf numFmtId="43" fontId="175" fillId="0" borderId="31" xfId="1" applyFont="1" applyFill="1" applyBorder="1" applyAlignment="1">
      <alignment horizontal="right" vertical="center"/>
    </xf>
    <xf numFmtId="43" fontId="175" fillId="0" borderId="31" xfId="1" applyFont="1" applyFill="1" applyBorder="1" applyAlignment="1">
      <alignment horizontal="left" vertical="center"/>
    </xf>
    <xf numFmtId="0" fontId="175" fillId="0" borderId="31" xfId="2" applyFont="1" applyFill="1" applyBorder="1" applyAlignment="1">
      <alignment horizontal="right" vertical="center"/>
    </xf>
    <xf numFmtId="0" fontId="40" fillId="0" borderId="31" xfId="2" applyFont="1" applyFill="1" applyBorder="1" applyAlignment="1">
      <alignment horizontal="left" vertical="center"/>
    </xf>
    <xf numFmtId="43" fontId="40" fillId="0" borderId="0" xfId="2" applyNumberFormat="1" applyFont="1" applyFill="1" applyBorder="1" applyAlignment="1">
      <alignment horizontal="left" vertical="center"/>
    </xf>
    <xf numFmtId="14" fontId="40" fillId="0" borderId="0" xfId="2" applyNumberFormat="1" applyFont="1" applyFill="1" applyBorder="1" applyAlignment="1">
      <alignment horizontal="left" vertical="center"/>
    </xf>
    <xf numFmtId="43" fontId="2" fillId="0" borderId="31" xfId="1" applyFont="1" applyBorder="1"/>
    <xf numFmtId="0" fontId="40" fillId="0" borderId="0" xfId="2" applyFont="1" applyFill="1" applyBorder="1" applyAlignment="1">
      <alignment horizontal="center" vertical="center"/>
    </xf>
    <xf numFmtId="0" fontId="177" fillId="0" borderId="0" xfId="380" applyFont="1" applyFill="1" applyBorder="1" applyAlignment="1">
      <alignment horizontal="center" vertical="center"/>
    </xf>
    <xf numFmtId="0" fontId="176" fillId="0" borderId="31" xfId="2" applyFont="1" applyFill="1" applyBorder="1" applyAlignment="1">
      <alignment horizontal="center" vertical="center" wrapText="1"/>
    </xf>
    <xf numFmtId="0" fontId="40" fillId="0" borderId="31" xfId="2" applyFont="1" applyFill="1" applyBorder="1" applyAlignment="1">
      <alignment horizontal="center" vertical="center"/>
    </xf>
    <xf numFmtId="0" fontId="176" fillId="0" borderId="0" xfId="2" applyFont="1" applyFill="1" applyBorder="1" applyAlignment="1">
      <alignment horizontal="center" vertical="center"/>
    </xf>
    <xf numFmtId="0" fontId="42" fillId="0" borderId="0" xfId="0" applyFont="1" applyBorder="1" applyAlignment="1">
      <alignment horizontal="justify" vertical="top" wrapText="1"/>
    </xf>
    <xf numFmtId="0" fontId="42" fillId="0" borderId="0" xfId="0" applyFont="1" applyBorder="1" applyAlignment="1">
      <alignment wrapText="1"/>
    </xf>
    <xf numFmtId="0" fontId="40" fillId="0" borderId="0" xfId="2" applyFont="1" applyFill="1" applyBorder="1" applyAlignment="1">
      <alignment horizontal="left" vertical="center"/>
    </xf>
    <xf numFmtId="0" fontId="176" fillId="0" borderId="31" xfId="2" applyFont="1" applyFill="1" applyBorder="1" applyAlignment="1">
      <alignment horizontal="center" vertical="center"/>
    </xf>
    <xf numFmtId="0" fontId="175" fillId="0" borderId="31" xfId="2" applyFont="1" applyFill="1" applyBorder="1" applyAlignment="1">
      <alignment horizontal="center" vertical="center"/>
    </xf>
    <xf numFmtId="0" fontId="42" fillId="0" borderId="0" xfId="3" applyFont="1"/>
    <xf numFmtId="0" fontId="41" fillId="0" borderId="0" xfId="0" applyFont="1" applyAlignment="1">
      <alignment wrapText="1"/>
    </xf>
    <xf numFmtId="168" fontId="42" fillId="0" borderId="0" xfId="0" applyNumberFormat="1" applyFont="1" applyBorder="1" applyAlignment="1">
      <alignment horizontal="justify" vertical="top" wrapText="1"/>
    </xf>
    <xf numFmtId="43" fontId="41" fillId="0" borderId="0" xfId="1" applyFont="1" applyBorder="1" applyAlignment="1">
      <alignment horizontal="right" vertical="top" wrapText="1"/>
    </xf>
    <xf numFmtId="43" fontId="42" fillId="0" borderId="53" xfId="1" applyFont="1" applyBorder="1" applyAlignment="1">
      <alignment horizontal="right" vertical="top" wrapText="1"/>
    </xf>
    <xf numFmtId="43" fontId="41" fillId="0" borderId="31" xfId="1" applyFont="1" applyBorder="1" applyAlignment="1">
      <alignment horizontal="right" vertical="top" wrapText="1"/>
    </xf>
    <xf numFmtId="43" fontId="41" fillId="0" borderId="53" xfId="1" applyFont="1" applyBorder="1" applyAlignment="1">
      <alignment horizontal="right" vertical="top" wrapText="1"/>
    </xf>
    <xf numFmtId="43" fontId="42" fillId="0" borderId="0" xfId="1" applyFont="1" applyBorder="1" applyAlignment="1">
      <alignment horizontal="right" vertical="top" wrapText="1"/>
    </xf>
    <xf numFmtId="43" fontId="41" fillId="0" borderId="54" xfId="1" applyFont="1" applyBorder="1" applyAlignment="1">
      <alignment horizontal="center" vertical="top" wrapText="1"/>
    </xf>
    <xf numFmtId="43" fontId="41" fillId="0" borderId="54" xfId="1" applyFont="1" applyBorder="1" applyAlignment="1">
      <alignment horizontal="justify" vertical="top" wrapText="1"/>
    </xf>
    <xf numFmtId="43" fontId="41" fillId="0" borderId="72" xfId="1" applyFont="1" applyBorder="1" applyAlignment="1">
      <alignment horizontal="justify" vertical="top" wrapText="1"/>
    </xf>
    <xf numFmtId="43" fontId="41" fillId="0" borderId="76" xfId="1" applyFont="1" applyBorder="1" applyAlignment="1">
      <alignment horizontal="right" vertical="top" wrapText="1"/>
    </xf>
    <xf numFmtId="43" fontId="41" fillId="0" borderId="0" xfId="1" applyFont="1" applyBorder="1" applyAlignment="1">
      <alignment horizontal="right" wrapText="1"/>
    </xf>
    <xf numFmtId="43" fontId="42" fillId="0" borderId="0" xfId="1" applyFont="1" applyAlignment="1">
      <alignment wrapText="1"/>
    </xf>
    <xf numFmtId="0" fontId="41" fillId="0" borderId="0" xfId="0" applyFont="1" applyAlignment="1">
      <alignment horizontal="justify" wrapText="1"/>
    </xf>
    <xf numFmtId="43" fontId="41" fillId="0" borderId="53" xfId="1" applyFont="1" applyBorder="1" applyAlignment="1">
      <alignment horizontal="right" wrapText="1"/>
    </xf>
    <xf numFmtId="43" fontId="42" fillId="0" borderId="31" xfId="1" applyFont="1" applyBorder="1" applyAlignment="1">
      <alignment wrapText="1"/>
    </xf>
    <xf numFmtId="167" fontId="42" fillId="31" borderId="32" xfId="1" applyNumberFormat="1" applyFont="1" applyFill="1" applyBorder="1" applyAlignment="1">
      <alignment wrapText="1"/>
    </xf>
    <xf numFmtId="167" fontId="42" fillId="31" borderId="0" xfId="1" applyNumberFormat="1" applyFont="1" applyFill="1" applyBorder="1" applyAlignment="1">
      <alignment wrapText="1"/>
    </xf>
    <xf numFmtId="43" fontId="42" fillId="31" borderId="0" xfId="1" applyFont="1" applyFill="1" applyBorder="1" applyAlignment="1">
      <alignment wrapText="1"/>
    </xf>
    <xf numFmtId="169" fontId="41" fillId="0" borderId="0" xfId="0" applyNumberFormat="1" applyFont="1" applyBorder="1" applyAlignment="1">
      <alignment wrapText="1"/>
    </xf>
    <xf numFmtId="43" fontId="42" fillId="0" borderId="0" xfId="1" applyFont="1" applyBorder="1" applyAlignment="1">
      <alignment wrapText="1"/>
    </xf>
    <xf numFmtId="43" fontId="41" fillId="0" borderId="72" xfId="1" applyFont="1" applyBorder="1" applyAlignment="1">
      <alignment horizontal="center" wrapText="1"/>
    </xf>
    <xf numFmtId="43" fontId="41" fillId="0" borderId="54" xfId="1" applyFont="1" applyBorder="1" applyAlignment="1">
      <alignment wrapText="1"/>
    </xf>
    <xf numFmtId="43" fontId="42" fillId="0" borderId="73" xfId="1" applyFont="1" applyBorder="1" applyAlignment="1">
      <alignment wrapText="1"/>
    </xf>
    <xf numFmtId="43" fontId="42" fillId="0" borderId="54" xfId="1" applyFont="1" applyBorder="1" applyAlignment="1">
      <alignment wrapText="1"/>
    </xf>
    <xf numFmtId="43" fontId="41" fillId="0" borderId="0" xfId="1" applyFont="1" applyBorder="1" applyAlignment="1">
      <alignment wrapText="1"/>
    </xf>
    <xf numFmtId="0" fontId="42" fillId="0" borderId="0" xfId="0" applyFont="1" applyFill="1" applyAlignment="1">
      <alignment wrapText="1"/>
    </xf>
    <xf numFmtId="43" fontId="41" fillId="0" borderId="52" xfId="1" applyFont="1" applyFill="1" applyBorder="1" applyAlignment="1">
      <alignment horizontal="center" vertical="top" wrapText="1"/>
    </xf>
    <xf numFmtId="0" fontId="41" fillId="0" borderId="71" xfId="0" applyFont="1" applyFill="1" applyBorder="1" applyAlignment="1">
      <alignment horizontal="center" vertical="center" wrapText="1"/>
    </xf>
    <xf numFmtId="43" fontId="41" fillId="74" borderId="31" xfId="1" applyFont="1" applyFill="1" applyBorder="1" applyAlignment="1">
      <alignment horizontal="left" wrapText="1"/>
    </xf>
    <xf numFmtId="43" fontId="41" fillId="0" borderId="73" xfId="1" applyFont="1" applyFill="1" applyBorder="1" applyAlignment="1">
      <alignment horizontal="left" wrapText="1"/>
    </xf>
    <xf numFmtId="43" fontId="41" fillId="74" borderId="52" xfId="1" applyFont="1" applyFill="1" applyBorder="1" applyAlignment="1">
      <alignment horizontal="center" wrapText="1"/>
    </xf>
    <xf numFmtId="43" fontId="41" fillId="0" borderId="34" xfId="1" applyFont="1" applyBorder="1" applyAlignment="1">
      <alignment wrapText="1"/>
    </xf>
    <xf numFmtId="43" fontId="41" fillId="0" borderId="52" xfId="1" applyFont="1" applyFill="1" applyBorder="1" applyAlignment="1">
      <alignment horizontal="center" wrapText="1"/>
    </xf>
    <xf numFmtId="43" fontId="41" fillId="0" borderId="71" xfId="1" applyFont="1" applyFill="1" applyBorder="1" applyAlignment="1">
      <alignment horizontal="center" wrapText="1"/>
    </xf>
    <xf numFmtId="43" fontId="41" fillId="0" borderId="72" xfId="1" applyFont="1" applyFill="1" applyBorder="1" applyAlignment="1">
      <alignment horizontal="center" wrapText="1"/>
    </xf>
    <xf numFmtId="43" fontId="42" fillId="31" borderId="75" xfId="1" applyFont="1" applyFill="1" applyBorder="1" applyAlignment="1">
      <alignment vertical="top" wrapText="1"/>
    </xf>
    <xf numFmtId="43" fontId="42" fillId="0" borderId="53" xfId="1" applyFont="1" applyBorder="1" applyAlignment="1">
      <alignment wrapText="1"/>
    </xf>
    <xf numFmtId="43" fontId="42" fillId="0" borderId="34" xfId="1" applyFont="1" applyBorder="1" applyAlignment="1">
      <alignment wrapText="1"/>
    </xf>
    <xf numFmtId="43" fontId="41" fillId="74" borderId="32" xfId="1" applyFont="1" applyFill="1" applyBorder="1" applyAlignment="1">
      <alignment horizontal="left" wrapText="1"/>
    </xf>
    <xf numFmtId="43" fontId="41" fillId="0" borderId="54" xfId="1" applyFont="1" applyFill="1" applyBorder="1" applyAlignment="1">
      <alignment horizontal="center" wrapText="1"/>
    </xf>
    <xf numFmtId="43" fontId="42" fillId="0" borderId="54" xfId="1" applyFont="1" applyBorder="1" applyAlignment="1">
      <alignment horizontal="justify" vertical="top" wrapText="1"/>
    </xf>
    <xf numFmtId="43" fontId="42" fillId="0" borderId="54" xfId="1" applyFont="1" applyBorder="1" applyAlignment="1">
      <alignment horizontal="right" wrapText="1"/>
    </xf>
    <xf numFmtId="0" fontId="42" fillId="0" borderId="73" xfId="0" applyFont="1" applyBorder="1" applyAlignment="1">
      <alignment horizontal="left" vertical="top" wrapText="1"/>
    </xf>
    <xf numFmtId="43" fontId="41" fillId="0" borderId="53" xfId="1" applyFont="1" applyFill="1" applyBorder="1" applyAlignment="1">
      <alignment horizontal="left" wrapText="1"/>
    </xf>
    <xf numFmtId="0" fontId="42" fillId="0" borderId="53" xfId="0" applyFont="1" applyBorder="1" applyAlignment="1">
      <alignment horizontal="left" vertical="top" wrapText="1"/>
    </xf>
    <xf numFmtId="43" fontId="42" fillId="0" borderId="73" xfId="0" applyNumberFormat="1" applyFont="1" applyBorder="1" applyAlignment="1">
      <alignment wrapText="1"/>
    </xf>
    <xf numFmtId="0" fontId="42" fillId="0" borderId="27" xfId="0" applyFont="1" applyBorder="1" applyAlignment="1">
      <alignment wrapText="1"/>
    </xf>
    <xf numFmtId="0" fontId="41" fillId="0" borderId="0" xfId="0" applyFont="1" applyBorder="1" applyAlignment="1">
      <alignment horizontal="justify" wrapText="1"/>
    </xf>
    <xf numFmtId="0" fontId="41" fillId="0" borderId="0" xfId="0" applyFont="1" applyBorder="1" applyAlignment="1">
      <alignment horizontal="center" vertical="top" wrapText="1"/>
    </xf>
    <xf numFmtId="0" fontId="41" fillId="0" borderId="53" xfId="0" applyFont="1" applyBorder="1" applyAlignment="1">
      <alignment vertical="top" wrapText="1"/>
    </xf>
    <xf numFmtId="43" fontId="42" fillId="0" borderId="0" xfId="0" applyNumberFormat="1" applyFont="1" applyBorder="1" applyAlignment="1">
      <alignment wrapText="1"/>
    </xf>
    <xf numFmtId="0" fontId="42" fillId="0" borderId="53" xfId="0" applyFont="1" applyBorder="1" applyAlignment="1">
      <alignment wrapText="1"/>
    </xf>
    <xf numFmtId="0" fontId="42" fillId="0" borderId="53" xfId="0" applyFont="1" applyBorder="1" applyAlignment="1">
      <alignment horizontal="justify" vertical="top" wrapText="1"/>
    </xf>
    <xf numFmtId="43" fontId="42" fillId="0" borderId="76" xfId="1" applyFont="1" applyBorder="1" applyAlignment="1">
      <alignment wrapText="1"/>
    </xf>
    <xf numFmtId="0" fontId="42" fillId="0" borderId="34" xfId="0" applyFont="1" applyBorder="1" applyAlignment="1">
      <alignment horizontal="justify" vertical="top" wrapText="1"/>
    </xf>
    <xf numFmtId="43" fontId="41" fillId="0" borderId="32" xfId="1" applyFont="1" applyBorder="1" applyAlignment="1">
      <alignment horizontal="justify" vertical="top" wrapText="1"/>
    </xf>
    <xf numFmtId="0" fontId="42" fillId="0" borderId="73" xfId="0" applyFont="1" applyBorder="1" applyAlignment="1">
      <alignment wrapText="1"/>
    </xf>
    <xf numFmtId="0" fontId="42" fillId="0" borderId="73" xfId="0" quotePrefix="1" applyFont="1" applyBorder="1" applyAlignment="1">
      <alignment horizontal="left" vertical="top" wrapText="1"/>
    </xf>
    <xf numFmtId="0" fontId="42" fillId="0" borderId="73" xfId="0" quotePrefix="1" applyFont="1" applyBorder="1" applyAlignment="1">
      <alignment wrapText="1"/>
    </xf>
    <xf numFmtId="0" fontId="41" fillId="0" borderId="52" xfId="0" applyFont="1" applyBorder="1" applyAlignment="1">
      <alignment horizontal="justify" vertical="top" wrapText="1"/>
    </xf>
    <xf numFmtId="0" fontId="41" fillId="0" borderId="53" xfId="0" applyFont="1" applyBorder="1" applyAlignment="1">
      <alignment horizontal="justify" vertical="top" wrapText="1"/>
    </xf>
    <xf numFmtId="0" fontId="42" fillId="0" borderId="34" xfId="0" applyFont="1" applyBorder="1" applyAlignment="1">
      <alignment wrapText="1"/>
    </xf>
    <xf numFmtId="0" fontId="42" fillId="0" borderId="53" xfId="0" applyFont="1" applyBorder="1" applyAlignment="1">
      <alignment horizontal="right" vertical="top" wrapText="1"/>
    </xf>
    <xf numFmtId="43" fontId="41" fillId="0" borderId="41" xfId="0" applyNumberFormat="1" applyFont="1" applyBorder="1" applyAlignment="1">
      <alignment wrapText="1"/>
    </xf>
    <xf numFmtId="0" fontId="41" fillId="0" borderId="31" xfId="0" applyFont="1" applyBorder="1" applyAlignment="1">
      <alignment horizontal="center" vertical="top" wrapText="1"/>
    </xf>
    <xf numFmtId="43" fontId="42" fillId="0" borderId="53" xfId="0" applyNumberFormat="1" applyFont="1" applyBorder="1" applyAlignment="1">
      <alignment wrapText="1"/>
    </xf>
    <xf numFmtId="43" fontId="42" fillId="0" borderId="52" xfId="0" applyNumberFormat="1" applyFont="1" applyBorder="1" applyAlignment="1">
      <alignment wrapText="1"/>
    </xf>
    <xf numFmtId="43" fontId="42" fillId="0" borderId="52" xfId="1" applyFont="1" applyBorder="1" applyAlignment="1">
      <alignment wrapText="1"/>
    </xf>
    <xf numFmtId="43" fontId="41" fillId="74" borderId="52" xfId="1" applyFont="1" applyFill="1" applyBorder="1" applyAlignment="1">
      <alignment horizontal="left" wrapText="1"/>
    </xf>
    <xf numFmtId="0" fontId="41" fillId="0" borderId="31" xfId="0" applyFont="1" applyBorder="1" applyAlignment="1">
      <alignment horizontal="left" vertical="top" wrapText="1"/>
    </xf>
    <xf numFmtId="0" fontId="42" fillId="0" borderId="71" xfId="0" applyFont="1" applyBorder="1" applyAlignment="1">
      <alignment horizontal="left" vertical="top" wrapText="1"/>
    </xf>
    <xf numFmtId="0" fontId="41" fillId="0" borderId="73" xfId="0" applyFont="1" applyBorder="1" applyAlignment="1">
      <alignment horizontal="left" vertical="top" wrapText="1"/>
    </xf>
    <xf numFmtId="43" fontId="42" fillId="0" borderId="72" xfId="1" applyFont="1" applyBorder="1" applyAlignment="1">
      <alignment wrapText="1"/>
    </xf>
    <xf numFmtId="0" fontId="41" fillId="0" borderId="32" xfId="0" applyFont="1" applyBorder="1" applyAlignment="1">
      <alignment horizontal="left" vertical="top" wrapText="1"/>
    </xf>
    <xf numFmtId="43" fontId="42" fillId="0" borderId="54" xfId="1" applyFont="1" applyFill="1" applyBorder="1" applyAlignment="1">
      <alignment horizontal="center" wrapText="1"/>
    </xf>
    <xf numFmtId="43" fontId="42" fillId="0" borderId="54" xfId="1" applyFont="1" applyBorder="1" applyAlignment="1">
      <alignment horizontal="left" vertical="top" wrapText="1"/>
    </xf>
    <xf numFmtId="43" fontId="41" fillId="0" borderId="0" xfId="1" applyFont="1" applyAlignment="1">
      <alignment horizontal="right" wrapText="1"/>
    </xf>
    <xf numFmtId="43" fontId="41" fillId="31" borderId="0" xfId="1" applyFont="1" applyFill="1" applyAlignment="1">
      <alignment wrapText="1"/>
    </xf>
    <xf numFmtId="167" fontId="42" fillId="31" borderId="0" xfId="1" applyNumberFormat="1" applyFont="1" applyFill="1" applyAlignment="1">
      <alignment wrapText="1"/>
    </xf>
    <xf numFmtId="43" fontId="42" fillId="31" borderId="0" xfId="1" applyFont="1" applyFill="1" applyAlignment="1">
      <alignment wrapText="1"/>
    </xf>
    <xf numFmtId="0" fontId="42" fillId="0" borderId="73" xfId="0" applyFont="1" applyBorder="1" applyAlignment="1">
      <alignment vertical="center" wrapText="1"/>
    </xf>
    <xf numFmtId="0" fontId="40" fillId="0" borderId="0" xfId="2" applyFont="1" applyFill="1" applyBorder="1" applyAlignment="1">
      <alignment horizontal="left" vertical="center"/>
    </xf>
    <xf numFmtId="0" fontId="176" fillId="0" borderId="31" xfId="2" applyFont="1" applyFill="1" applyBorder="1" applyAlignment="1">
      <alignment horizontal="center" vertical="center"/>
    </xf>
    <xf numFmtId="0" fontId="41" fillId="0" borderId="73" xfId="0" applyFont="1" applyBorder="1" applyAlignment="1">
      <alignment horizontal="justify" vertical="top" wrapText="1"/>
    </xf>
    <xf numFmtId="168" fontId="42" fillId="0" borderId="73" xfId="0" applyNumberFormat="1" applyFont="1" applyBorder="1" applyAlignment="1">
      <alignment horizontal="left" vertical="top" wrapText="1"/>
    </xf>
    <xf numFmtId="0" fontId="42" fillId="0" borderId="73" xfId="0" applyFont="1" applyBorder="1" applyAlignment="1">
      <alignment horizontal="justify" vertical="top" wrapText="1"/>
    </xf>
    <xf numFmtId="0" fontId="42" fillId="0" borderId="75" xfId="0" applyFont="1" applyBorder="1" applyAlignment="1">
      <alignment horizontal="justify" vertical="top" wrapText="1"/>
    </xf>
    <xf numFmtId="43" fontId="42" fillId="0" borderId="53" xfId="1" applyFont="1" applyBorder="1" applyAlignment="1">
      <alignment horizontal="right" wrapText="1"/>
    </xf>
    <xf numFmtId="0" fontId="42" fillId="0" borderId="73" xfId="0" quotePrefix="1" applyFont="1" applyBorder="1" applyAlignment="1">
      <alignment horizontal="justify" wrapText="1"/>
    </xf>
    <xf numFmtId="0" fontId="42" fillId="0" borderId="73" xfId="0" applyFont="1" applyBorder="1" applyAlignment="1">
      <alignment horizontal="justify" wrapText="1"/>
    </xf>
    <xf numFmtId="0" fontId="41" fillId="0" borderId="73" xfId="0" applyFont="1" applyBorder="1" applyAlignment="1">
      <alignment horizontal="justify" wrapText="1"/>
    </xf>
    <xf numFmtId="43" fontId="40" fillId="0" borderId="31" xfId="2" applyNumberFormat="1" applyFont="1" applyFill="1" applyBorder="1" applyAlignment="1">
      <alignment horizontal="left" vertical="center"/>
    </xf>
    <xf numFmtId="0" fontId="176" fillId="0" borderId="31" xfId="2" applyFont="1" applyFill="1" applyBorder="1" applyAlignment="1">
      <alignment horizontal="center" vertical="center"/>
    </xf>
    <xf numFmtId="0" fontId="175" fillId="0" borderId="31" xfId="2" applyFont="1" applyFill="1" applyBorder="1" applyAlignment="1">
      <alignment horizontal="center" vertical="center"/>
    </xf>
    <xf numFmtId="0" fontId="42" fillId="0" borderId="0" xfId="0" applyFont="1" applyAlignment="1">
      <alignment horizontal="center" wrapText="1"/>
    </xf>
    <xf numFmtId="0" fontId="41" fillId="0" borderId="0" xfId="0" applyFont="1" applyAlignment="1">
      <alignment horizontal="center" wrapText="1"/>
    </xf>
    <xf numFmtId="43" fontId="41" fillId="0" borderId="53" xfId="0" applyNumberFormat="1" applyFont="1" applyBorder="1" applyAlignment="1">
      <alignment horizontal="right" vertical="top" wrapText="1"/>
    </xf>
    <xf numFmtId="43" fontId="42" fillId="0" borderId="73" xfId="1" applyFont="1" applyFill="1" applyBorder="1" applyAlignment="1">
      <alignment horizontal="left" wrapText="1"/>
    </xf>
    <xf numFmtId="167" fontId="42" fillId="31" borderId="73" xfId="1" applyNumberFormat="1" applyFont="1" applyFill="1" applyBorder="1" applyAlignment="1">
      <alignment vertical="top" wrapText="1"/>
    </xf>
    <xf numFmtId="43" fontId="176" fillId="0" borderId="31" xfId="2" applyNumberFormat="1" applyFont="1" applyFill="1" applyBorder="1" applyAlignment="1">
      <alignment horizontal="left" vertical="center"/>
    </xf>
    <xf numFmtId="43" fontId="42" fillId="0" borderId="54" xfId="0" applyNumberFormat="1" applyFont="1" applyBorder="1" applyAlignment="1">
      <alignment wrapText="1"/>
    </xf>
    <xf numFmtId="43" fontId="42" fillId="0" borderId="76" xfId="1" applyFont="1" applyBorder="1" applyAlignment="1">
      <alignment horizontal="right" wrapText="1"/>
    </xf>
    <xf numFmtId="43" fontId="42" fillId="0" borderId="73" xfId="1" applyFont="1" applyBorder="1" applyAlignment="1">
      <alignment horizontal="right" wrapText="1"/>
    </xf>
    <xf numFmtId="0" fontId="41" fillId="0" borderId="0" xfId="0" applyFont="1" applyFill="1" applyAlignment="1">
      <alignment horizontal="center" wrapText="1"/>
    </xf>
    <xf numFmtId="0" fontId="42" fillId="0" borderId="0" xfId="3" applyFont="1" applyBorder="1"/>
    <xf numFmtId="0" fontId="42" fillId="0" borderId="75" xfId="3" applyFont="1" applyBorder="1"/>
    <xf numFmtId="0" fontId="42" fillId="0" borderId="27" xfId="3" applyFont="1" applyBorder="1"/>
    <xf numFmtId="0" fontId="40" fillId="0" borderId="0" xfId="2" applyFont="1" applyFill="1" applyBorder="1" applyAlignment="1">
      <alignment horizontal="left" vertical="center"/>
    </xf>
    <xf numFmtId="0" fontId="176" fillId="0" borderId="31" xfId="2" applyFont="1" applyFill="1" applyBorder="1" applyAlignment="1">
      <alignment horizontal="center" vertical="center"/>
    </xf>
    <xf numFmtId="43" fontId="42" fillId="74" borderId="33" xfId="1" applyFont="1" applyFill="1" applyBorder="1" applyAlignment="1">
      <alignment horizontal="center" wrapText="1"/>
    </xf>
    <xf numFmtId="43" fontId="41" fillId="0" borderId="32" xfId="1" applyFont="1" applyBorder="1" applyAlignment="1">
      <alignment wrapText="1"/>
    </xf>
    <xf numFmtId="0" fontId="177" fillId="31" borderId="0" xfId="3" applyFont="1" applyFill="1" applyBorder="1" applyAlignment="1">
      <alignment horizontal="left" vertical="center"/>
    </xf>
    <xf numFmtId="0" fontId="40" fillId="0" borderId="0" xfId="2615" applyFont="1" applyFill="1" applyBorder="1" applyAlignment="1">
      <alignment horizontal="left" vertical="top" wrapText="1"/>
    </xf>
    <xf numFmtId="0" fontId="42" fillId="0" borderId="0" xfId="2615" applyFont="1" applyFill="1" applyBorder="1" applyAlignment="1">
      <alignment horizontal="center" vertical="top" wrapText="1"/>
    </xf>
    <xf numFmtId="0" fontId="42" fillId="0" borderId="78" xfId="2615" applyFont="1" applyFill="1" applyBorder="1" applyAlignment="1">
      <alignment horizontal="center" vertical="top" wrapText="1"/>
    </xf>
    <xf numFmtId="43" fontId="40" fillId="0" borderId="51" xfId="2615" applyNumberFormat="1" applyFont="1" applyFill="1" applyBorder="1" applyAlignment="1">
      <alignment horizontal="left" wrapText="1"/>
    </xf>
    <xf numFmtId="3" fontId="42" fillId="0" borderId="0" xfId="2615" applyNumberFormat="1" applyFont="1" applyFill="1" applyBorder="1" applyAlignment="1">
      <alignment horizontal="center" vertical="top" wrapText="1"/>
    </xf>
    <xf numFmtId="43" fontId="42" fillId="74" borderId="31" xfId="1" applyFont="1" applyFill="1" applyBorder="1" applyAlignment="1">
      <alignment horizontal="center" wrapText="1"/>
    </xf>
    <xf numFmtId="0" fontId="42" fillId="0" borderId="54" xfId="0" applyFont="1" applyBorder="1" applyAlignment="1">
      <alignment wrapText="1"/>
    </xf>
    <xf numFmtId="0" fontId="42" fillId="0" borderId="76" xfId="0" applyFont="1" applyBorder="1" applyAlignment="1">
      <alignment wrapText="1"/>
    </xf>
    <xf numFmtId="0" fontId="42" fillId="0" borderId="75" xfId="0" applyFont="1" applyBorder="1" applyAlignment="1">
      <alignment wrapText="1"/>
    </xf>
    <xf numFmtId="43" fontId="42" fillId="0" borderId="52" xfId="1" applyFont="1" applyFill="1" applyBorder="1" applyAlignment="1">
      <alignment horizontal="center" wrapText="1"/>
    </xf>
    <xf numFmtId="43" fontId="42" fillId="0" borderId="71" xfId="1" applyFont="1" applyFill="1" applyBorder="1" applyAlignment="1">
      <alignment horizontal="center" wrapText="1"/>
    </xf>
    <xf numFmtId="43" fontId="42" fillId="0" borderId="53" xfId="1" applyFont="1" applyFill="1" applyBorder="1" applyAlignment="1">
      <alignment horizontal="center" wrapText="1"/>
    </xf>
    <xf numFmtId="0" fontId="42" fillId="0" borderId="73" xfId="0" applyFont="1" applyBorder="1" applyAlignment="1">
      <alignment horizontal="right" vertical="top" wrapText="1"/>
    </xf>
    <xf numFmtId="43" fontId="42" fillId="0" borderId="53" xfId="1" applyNumberFormat="1" applyFont="1" applyBorder="1" applyAlignment="1">
      <alignment wrapText="1"/>
    </xf>
    <xf numFmtId="43" fontId="42" fillId="0" borderId="34" xfId="0" applyNumberFormat="1" applyFont="1" applyBorder="1" applyAlignment="1">
      <alignment wrapText="1"/>
    </xf>
    <xf numFmtId="43" fontId="41" fillId="0" borderId="31" xfId="0" applyNumberFormat="1" applyFont="1" applyBorder="1" applyAlignment="1">
      <alignment wrapText="1"/>
    </xf>
    <xf numFmtId="43" fontId="41" fillId="0" borderId="34" xfId="0" applyNumberFormat="1" applyFont="1" applyBorder="1" applyAlignment="1">
      <alignment wrapText="1"/>
    </xf>
    <xf numFmtId="0" fontId="42" fillId="0" borderId="54" xfId="0" applyFont="1" applyFill="1" applyBorder="1" applyAlignment="1">
      <alignment wrapText="1"/>
    </xf>
    <xf numFmtId="43" fontId="42" fillId="0" borderId="76" xfId="0" applyNumberFormat="1" applyFont="1" applyBorder="1" applyAlignment="1">
      <alignment wrapText="1"/>
    </xf>
    <xf numFmtId="43" fontId="41" fillId="0" borderId="33" xfId="0" applyNumberFormat="1" applyFont="1" applyBorder="1" applyAlignment="1">
      <alignment wrapText="1"/>
    </xf>
    <xf numFmtId="0" fontId="42" fillId="0" borderId="52" xfId="0" applyFont="1" applyFill="1" applyBorder="1" applyAlignment="1">
      <alignment wrapText="1"/>
    </xf>
    <xf numFmtId="43" fontId="42" fillId="0" borderId="52" xfId="1" applyNumberFormat="1" applyFont="1" applyBorder="1" applyAlignment="1">
      <alignment wrapText="1"/>
    </xf>
    <xf numFmtId="0" fontId="42" fillId="0" borderId="53" xfId="0" applyFont="1" applyFill="1" applyBorder="1" applyAlignment="1">
      <alignment wrapText="1"/>
    </xf>
    <xf numFmtId="43" fontId="41" fillId="0" borderId="31" xfId="1" applyFont="1" applyBorder="1" applyAlignment="1">
      <alignment horizontal="justify" vertical="top" wrapText="1"/>
    </xf>
    <xf numFmtId="43" fontId="41" fillId="0" borderId="53" xfId="1" applyFont="1" applyBorder="1" applyAlignment="1">
      <alignment horizontal="center" vertical="top" wrapText="1"/>
    </xf>
    <xf numFmtId="43" fontId="42" fillId="0" borderId="53" xfId="1" applyFont="1" applyBorder="1" applyAlignment="1">
      <alignment horizontal="justify" vertical="top" wrapText="1"/>
    </xf>
    <xf numFmtId="43" fontId="42" fillId="0" borderId="52" xfId="1" applyFont="1" applyBorder="1" applyAlignment="1">
      <alignment horizontal="right" vertical="top" wrapText="1"/>
    </xf>
    <xf numFmtId="43" fontId="42" fillId="0" borderId="34" xfId="1" applyFont="1" applyBorder="1" applyAlignment="1">
      <alignment horizontal="right" vertical="top" wrapText="1"/>
    </xf>
    <xf numFmtId="43" fontId="42" fillId="0" borderId="53" xfId="0" applyNumberFormat="1" applyFont="1" applyFill="1" applyBorder="1" applyAlignment="1">
      <alignment wrapText="1"/>
    </xf>
    <xf numFmtId="43" fontId="41" fillId="0" borderId="31" xfId="1" applyNumberFormat="1" applyFont="1" applyBorder="1" applyAlignment="1">
      <alignment wrapText="1"/>
    </xf>
    <xf numFmtId="0" fontId="176" fillId="0" borderId="31" xfId="2" applyFont="1" applyFill="1" applyBorder="1" applyAlignment="1">
      <alignment horizontal="center" vertical="center"/>
    </xf>
    <xf numFmtId="43" fontId="41" fillId="0" borderId="52" xfId="1" applyFont="1" applyBorder="1" applyAlignment="1">
      <alignment horizontal="justify" vertical="top" wrapText="1"/>
    </xf>
    <xf numFmtId="43" fontId="41" fillId="0" borderId="53" xfId="1" applyFont="1" applyBorder="1" applyAlignment="1">
      <alignment horizontal="justify" vertical="top" wrapText="1"/>
    </xf>
    <xf numFmtId="43" fontId="41" fillId="0" borderId="34" xfId="1" applyFont="1" applyBorder="1" applyAlignment="1">
      <alignment horizontal="justify" vertical="top" wrapText="1"/>
    </xf>
    <xf numFmtId="43" fontId="41" fillId="0" borderId="52" xfId="1" applyFont="1" applyBorder="1" applyAlignment="1">
      <alignment horizontal="center" wrapText="1"/>
    </xf>
    <xf numFmtId="43" fontId="42" fillId="0" borderId="53" xfId="1" quotePrefix="1" applyFont="1" applyBorder="1" applyAlignment="1">
      <alignment horizontal="right" wrapText="1"/>
    </xf>
    <xf numFmtId="43" fontId="41" fillId="0" borderId="53" xfId="1" applyFont="1" applyBorder="1" applyAlignment="1">
      <alignment wrapText="1"/>
    </xf>
    <xf numFmtId="43" fontId="41" fillId="0" borderId="31" xfId="1" applyFont="1" applyBorder="1" applyAlignment="1">
      <alignment wrapText="1"/>
    </xf>
    <xf numFmtId="43" fontId="42" fillId="0" borderId="34" xfId="1" applyNumberFormat="1" applyFont="1" applyBorder="1" applyAlignment="1">
      <alignment wrapText="1"/>
    </xf>
    <xf numFmtId="43" fontId="42" fillId="0" borderId="31" xfId="0" applyNumberFormat="1" applyFont="1" applyBorder="1" applyAlignment="1">
      <alignment wrapText="1"/>
    </xf>
    <xf numFmtId="0" fontId="41" fillId="0" borderId="52" xfId="0" applyFont="1" applyBorder="1" applyAlignment="1">
      <alignment wrapText="1"/>
    </xf>
    <xf numFmtId="43" fontId="41" fillId="0" borderId="52" xfId="0" applyNumberFormat="1" applyFont="1" applyBorder="1" applyAlignment="1">
      <alignment wrapText="1"/>
    </xf>
    <xf numFmtId="43" fontId="41" fillId="0" borderId="53" xfId="0" applyNumberFormat="1" applyFont="1" applyBorder="1" applyAlignment="1">
      <alignment wrapText="1"/>
    </xf>
    <xf numFmtId="165" fontId="42" fillId="0" borderId="53" xfId="0" applyNumberFormat="1" applyFont="1" applyBorder="1" applyAlignment="1">
      <alignment wrapText="1"/>
    </xf>
    <xf numFmtId="43" fontId="42" fillId="0" borderId="31" xfId="1" applyFont="1" applyBorder="1" applyAlignment="1">
      <alignment horizontal="right" vertical="top" wrapText="1"/>
    </xf>
    <xf numFmtId="43" fontId="175" fillId="0" borderId="31" xfId="1" applyNumberFormat="1" applyFont="1" applyFill="1" applyBorder="1" applyAlignment="1">
      <alignment horizontal="left" vertical="center"/>
    </xf>
    <xf numFmtId="0" fontId="178" fillId="0" borderId="0" xfId="0" applyFont="1" applyAlignment="1">
      <alignment wrapText="1"/>
    </xf>
    <xf numFmtId="165" fontId="42" fillId="0" borderId="54" xfId="0" applyNumberFormat="1" applyFont="1" applyBorder="1" applyAlignment="1">
      <alignment wrapText="1"/>
    </xf>
    <xf numFmtId="165" fontId="42" fillId="0" borderId="52" xfId="0" applyNumberFormat="1" applyFont="1" applyBorder="1" applyAlignment="1">
      <alignment wrapText="1"/>
    </xf>
    <xf numFmtId="165" fontId="42" fillId="0" borderId="34" xfId="0" applyNumberFormat="1" applyFont="1" applyBorder="1" applyAlignment="1">
      <alignment wrapText="1"/>
    </xf>
    <xf numFmtId="0" fontId="178" fillId="0" borderId="0" xfId="0" applyFont="1" applyAlignment="1">
      <alignment horizontal="left" vertical="center" wrapText="1"/>
    </xf>
    <xf numFmtId="0" fontId="41" fillId="0" borderId="0" xfId="0" applyFont="1" applyBorder="1" applyAlignment="1">
      <alignment horizontal="left" vertical="top" wrapText="1"/>
    </xf>
    <xf numFmtId="43" fontId="41" fillId="0" borderId="0" xfId="0" applyNumberFormat="1" applyFont="1" applyBorder="1" applyAlignment="1">
      <alignment wrapText="1"/>
    </xf>
    <xf numFmtId="0" fontId="42" fillId="0" borderId="73" xfId="0" quotePrefix="1" applyFont="1" applyBorder="1" applyAlignment="1">
      <alignment horizontal="left" wrapText="1"/>
    </xf>
    <xf numFmtId="0" fontId="41" fillId="0" borderId="32" xfId="0" applyFont="1" applyBorder="1" applyAlignment="1">
      <alignment horizontal="center" wrapText="1"/>
    </xf>
    <xf numFmtId="0" fontId="42" fillId="0" borderId="73" xfId="0" applyFont="1" applyBorder="1" applyAlignment="1">
      <alignment horizontal="left" wrapText="1"/>
    </xf>
    <xf numFmtId="43" fontId="42" fillId="0" borderId="53" xfId="1" applyFont="1" applyBorder="1" applyAlignment="1">
      <alignment vertical="center" wrapText="1"/>
    </xf>
    <xf numFmtId="43" fontId="42" fillId="0" borderId="54" xfId="1" applyFont="1" applyBorder="1" applyAlignment="1">
      <alignment vertical="center" wrapText="1"/>
    </xf>
    <xf numFmtId="43" fontId="42" fillId="0" borderId="53" xfId="0" applyNumberFormat="1" applyFont="1" applyBorder="1" applyAlignment="1">
      <alignment vertical="center" wrapText="1"/>
    </xf>
    <xf numFmtId="0" fontId="42" fillId="0" borderId="52" xfId="0" applyFont="1" applyBorder="1" applyAlignment="1">
      <alignment horizontal="left" vertical="top" wrapText="1"/>
    </xf>
    <xf numFmtId="0" fontId="42" fillId="0" borderId="0" xfId="0" applyFont="1" applyAlignment="1">
      <alignment wrapText="1"/>
    </xf>
    <xf numFmtId="43" fontId="41" fillId="0" borderId="33" xfId="1" applyFont="1" applyBorder="1" applyAlignment="1">
      <alignment wrapText="1"/>
    </xf>
    <xf numFmtId="0" fontId="42" fillId="0" borderId="71" xfId="0" applyFont="1" applyBorder="1" applyAlignment="1">
      <alignment wrapText="1"/>
    </xf>
    <xf numFmtId="0" fontId="41" fillId="0" borderId="31" xfId="0" applyFont="1" applyBorder="1" applyAlignment="1">
      <alignment wrapText="1"/>
    </xf>
    <xf numFmtId="0" fontId="41" fillId="0" borderId="0" xfId="0" applyFont="1" applyBorder="1" applyAlignment="1">
      <alignment wrapText="1"/>
    </xf>
    <xf numFmtId="165" fontId="41" fillId="0" borderId="31" xfId="0" applyNumberFormat="1" applyFont="1" applyBorder="1" applyAlignment="1">
      <alignment wrapText="1"/>
    </xf>
    <xf numFmtId="0" fontId="41" fillId="0" borderId="75" xfId="0" applyFont="1" applyBorder="1" applyAlignment="1">
      <alignment wrapText="1"/>
    </xf>
    <xf numFmtId="43" fontId="41" fillId="0" borderId="76" xfId="1" applyFont="1" applyBorder="1" applyAlignment="1">
      <alignment wrapText="1"/>
    </xf>
    <xf numFmtId="0" fontId="41" fillId="0" borderId="31" xfId="0" applyFont="1" applyBorder="1" applyAlignment="1">
      <alignment horizontal="left" wrapText="1"/>
    </xf>
    <xf numFmtId="0" fontId="41" fillId="0" borderId="73" xfId="0" applyFont="1" applyBorder="1" applyAlignment="1">
      <alignment wrapText="1"/>
    </xf>
    <xf numFmtId="0" fontId="41" fillId="0" borderId="53" xfId="0" applyFont="1" applyBorder="1" applyAlignment="1">
      <alignment wrapText="1"/>
    </xf>
    <xf numFmtId="43" fontId="41" fillId="0" borderId="33" xfId="1" applyFont="1" applyFill="1" applyBorder="1" applyAlignment="1">
      <alignment wrapText="1"/>
    </xf>
    <xf numFmtId="0" fontId="42" fillId="0" borderId="71" xfId="3" applyFont="1" applyBorder="1"/>
    <xf numFmtId="0" fontId="42" fillId="0" borderId="77" xfId="3" applyFont="1" applyBorder="1"/>
    <xf numFmtId="0" fontId="42" fillId="0" borderId="72" xfId="3" applyFont="1" applyBorder="1"/>
    <xf numFmtId="0" fontId="42" fillId="0" borderId="76" xfId="3" applyFont="1" applyBorder="1"/>
    <xf numFmtId="0" fontId="42" fillId="0" borderId="0" xfId="0" applyFont="1" applyAlignment="1">
      <alignment wrapText="1"/>
    </xf>
    <xf numFmtId="43" fontId="41" fillId="0" borderId="31" xfId="1" applyFont="1" applyFill="1" applyBorder="1" applyAlignment="1">
      <alignment horizontal="center" wrapText="1"/>
    </xf>
    <xf numFmtId="0" fontId="40" fillId="0" borderId="0" xfId="2" applyFont="1" applyFill="1" applyBorder="1" applyAlignment="1">
      <alignment horizontal="left" vertical="center"/>
    </xf>
    <xf numFmtId="0" fontId="42" fillId="0" borderId="0" xfId="0" applyFont="1" applyAlignment="1">
      <alignment horizontal="left" vertical="center" wrapText="1"/>
    </xf>
    <xf numFmtId="0" fontId="42" fillId="0" borderId="0" xfId="0" applyFont="1" applyAlignment="1">
      <alignment wrapText="1"/>
    </xf>
    <xf numFmtId="0" fontId="41" fillId="0" borderId="0" xfId="0" applyFont="1" applyAlignment="1">
      <alignment horizontal="left" vertical="center" wrapText="1"/>
    </xf>
    <xf numFmtId="3" fontId="42" fillId="0" borderId="0" xfId="0" applyNumberFormat="1" applyFont="1" applyAlignment="1">
      <alignment wrapText="1"/>
    </xf>
    <xf numFmtId="0" fontId="179" fillId="0" borderId="73" xfId="0" applyFont="1" applyBorder="1" applyAlignment="1">
      <alignment horizontal="justify" wrapText="1"/>
    </xf>
    <xf numFmtId="0" fontId="179" fillId="0" borderId="73" xfId="0" quotePrefix="1" applyFont="1" applyBorder="1" applyAlignment="1">
      <alignment horizontal="justify" wrapText="1"/>
    </xf>
    <xf numFmtId="0" fontId="42" fillId="0" borderId="27" xfId="0" applyFont="1" applyBorder="1" applyAlignment="1">
      <alignment horizontal="center" wrapText="1"/>
    </xf>
    <xf numFmtId="43" fontId="41" fillId="0" borderId="52" xfId="1" applyFont="1" applyBorder="1" applyAlignment="1">
      <alignment wrapText="1"/>
    </xf>
    <xf numFmtId="0" fontId="42" fillId="0" borderId="0" xfId="0" applyFont="1" applyAlignment="1">
      <alignment horizontal="left" vertical="center" wrapText="1"/>
    </xf>
    <xf numFmtId="0" fontId="42" fillId="0" borderId="0" xfId="0" applyFont="1" applyAlignment="1">
      <alignment horizontal="left" wrapText="1"/>
    </xf>
    <xf numFmtId="0" fontId="42" fillId="0" borderId="0" xfId="0" applyFont="1" applyAlignment="1">
      <alignment wrapText="1"/>
    </xf>
    <xf numFmtId="43" fontId="42" fillId="0" borderId="31" xfId="1" applyFont="1" applyBorder="1" applyAlignment="1">
      <alignment horizontal="center" vertical="center" wrapText="1"/>
    </xf>
    <xf numFmtId="0" fontId="42" fillId="0" borderId="31" xfId="0" applyFont="1" applyBorder="1" applyAlignment="1">
      <alignment horizontal="center" vertical="center" wrapText="1"/>
    </xf>
    <xf numFmtId="9" fontId="42" fillId="0" borderId="31" xfId="2616" applyFont="1" applyBorder="1" applyAlignment="1">
      <alignment horizontal="center" vertical="center" wrapText="1"/>
    </xf>
    <xf numFmtId="0" fontId="42" fillId="0" borderId="0" xfId="0" quotePrefix="1" applyFont="1" applyBorder="1" applyAlignment="1">
      <alignment horizontal="left" vertical="center" wrapText="1"/>
    </xf>
    <xf numFmtId="0" fontId="178" fillId="0" borderId="0" xfId="0" applyFont="1" applyBorder="1" applyAlignment="1">
      <alignment horizontal="left" vertical="center" wrapText="1"/>
    </xf>
    <xf numFmtId="0" fontId="41" fillId="0" borderId="31" xfId="0" applyFont="1" applyBorder="1" applyAlignment="1">
      <alignment horizontal="center" vertical="center" wrapText="1"/>
    </xf>
    <xf numFmtId="43" fontId="41" fillId="0" borderId="31" xfId="1" applyFont="1" applyBorder="1" applyAlignment="1">
      <alignment horizontal="center" vertical="center" wrapText="1"/>
    </xf>
    <xf numFmtId="9" fontId="42" fillId="0" borderId="31" xfId="0" applyNumberFormat="1" applyFont="1" applyBorder="1" applyAlignment="1">
      <alignment horizontal="center" vertical="center" wrapText="1"/>
    </xf>
    <xf numFmtId="43" fontId="41" fillId="0" borderId="53" xfId="1" applyFont="1" applyFill="1" applyBorder="1" applyAlignment="1">
      <alignment horizontal="center" wrapText="1"/>
    </xf>
    <xf numFmtId="0" fontId="41" fillId="0" borderId="0" xfId="0" applyFont="1" applyBorder="1" applyAlignment="1">
      <alignment horizontal="center" wrapText="1"/>
    </xf>
    <xf numFmtId="0" fontId="41" fillId="0" borderId="31" xfId="0" applyFont="1" applyBorder="1" applyAlignment="1">
      <alignment horizontal="justify" vertical="top" wrapText="1"/>
    </xf>
    <xf numFmtId="0" fontId="41" fillId="0" borderId="0" xfId="0" applyFont="1" applyBorder="1" applyAlignment="1">
      <alignment horizontal="justify" vertical="top" wrapText="1"/>
    </xf>
    <xf numFmtId="0" fontId="42" fillId="0" borderId="53" xfId="0" applyFont="1" applyBorder="1" applyAlignment="1">
      <alignment horizontal="right" wrapText="1"/>
    </xf>
    <xf numFmtId="43" fontId="42" fillId="31" borderId="52" xfId="1" applyFont="1" applyFill="1" applyBorder="1" applyAlignment="1">
      <alignment horizontal="center" wrapText="1"/>
    </xf>
    <xf numFmtId="43" fontId="41" fillId="31" borderId="52" xfId="1" applyFont="1" applyFill="1" applyBorder="1" applyAlignment="1">
      <alignment horizontal="left" wrapText="1"/>
    </xf>
    <xf numFmtId="213" fontId="42" fillId="0" borderId="53" xfId="1" applyNumberFormat="1" applyFont="1" applyBorder="1" applyAlignment="1">
      <alignment wrapText="1"/>
    </xf>
    <xf numFmtId="213" fontId="42" fillId="0" borderId="52" xfId="1" applyNumberFormat="1" applyFont="1" applyBorder="1" applyAlignment="1">
      <alignment wrapText="1"/>
    </xf>
    <xf numFmtId="0" fontId="42" fillId="0" borderId="73" xfId="0" applyFont="1" applyBorder="1" applyAlignment="1">
      <alignment horizontal="right" wrapText="1"/>
    </xf>
    <xf numFmtId="43" fontId="176" fillId="31" borderId="31" xfId="1" applyFont="1" applyFill="1" applyBorder="1" applyAlignment="1">
      <alignment horizontal="center" vertical="center"/>
    </xf>
    <xf numFmtId="43" fontId="176" fillId="31" borderId="31" xfId="1" applyFont="1" applyFill="1" applyBorder="1" applyAlignment="1">
      <alignment horizontal="left" vertical="center"/>
    </xf>
    <xf numFmtId="43" fontId="176" fillId="31" borderId="31" xfId="1" applyFont="1" applyFill="1" applyBorder="1" applyAlignment="1">
      <alignment horizontal="right" vertical="center"/>
    </xf>
    <xf numFmtId="0" fontId="42" fillId="0" borderId="0" xfId="0" applyFont="1" applyAlignment="1">
      <alignment wrapText="1"/>
    </xf>
    <xf numFmtId="0" fontId="42" fillId="0" borderId="0" xfId="0" applyFont="1" applyAlignment="1">
      <alignment horizontal="left" wrapText="1"/>
    </xf>
    <xf numFmtId="0" fontId="42" fillId="0" borderId="0" xfId="0" applyFont="1" applyAlignment="1">
      <alignment wrapText="1"/>
    </xf>
    <xf numFmtId="43" fontId="42" fillId="0" borderId="0" xfId="1" applyFont="1" applyBorder="1" applyAlignment="1">
      <alignment horizontal="right" wrapText="1"/>
    </xf>
    <xf numFmtId="43" fontId="42" fillId="0" borderId="75" xfId="1" applyFont="1" applyBorder="1" applyAlignment="1">
      <alignment horizontal="right" wrapText="1"/>
    </xf>
    <xf numFmtId="0" fontId="42" fillId="0" borderId="0" xfId="0" applyFont="1" applyAlignment="1">
      <alignment wrapText="1"/>
    </xf>
    <xf numFmtId="0" fontId="41" fillId="0" borderId="0" xfId="0" applyFont="1" applyAlignment="1">
      <alignment horizontal="left" wrapText="1"/>
    </xf>
    <xf numFmtId="43" fontId="42" fillId="0" borderId="54" xfId="1" applyNumberFormat="1" applyFont="1" applyBorder="1" applyAlignment="1">
      <alignment wrapText="1"/>
    </xf>
    <xf numFmtId="0" fontId="41" fillId="0" borderId="32" xfId="0" applyFont="1" applyBorder="1" applyAlignment="1">
      <alignment horizontal="left" wrapText="1"/>
    </xf>
    <xf numFmtId="0" fontId="42" fillId="0" borderId="0" xfId="0" applyNumberFormat="1" applyFont="1" applyAlignment="1">
      <alignment wrapText="1"/>
    </xf>
    <xf numFmtId="0" fontId="42" fillId="0" borderId="0" xfId="0" applyFont="1" applyAlignment="1">
      <alignment wrapText="1"/>
    </xf>
    <xf numFmtId="10" fontId="42" fillId="0" borderId="31" xfId="0" applyNumberFormat="1" applyFont="1" applyBorder="1" applyAlignment="1">
      <alignment horizontal="center" vertical="center" wrapText="1"/>
    </xf>
    <xf numFmtId="0" fontId="176" fillId="0" borderId="31" xfId="2" applyFont="1" applyFill="1" applyBorder="1" applyAlignment="1">
      <alignment horizontal="center" vertical="center"/>
    </xf>
    <xf numFmtId="0" fontId="42" fillId="0" borderId="0" xfId="0" applyFont="1" applyAlignment="1">
      <alignment wrapText="1"/>
    </xf>
    <xf numFmtId="0" fontId="42" fillId="0" borderId="0" xfId="0" applyFont="1" applyAlignment="1">
      <alignment horizontal="left" vertical="top" wrapText="1"/>
    </xf>
    <xf numFmtId="0" fontId="181" fillId="0" borderId="31" xfId="0" applyFont="1" applyBorder="1"/>
    <xf numFmtId="43" fontId="42" fillId="0" borderId="53" xfId="0" applyNumberFormat="1" applyFont="1" applyBorder="1" applyAlignment="1">
      <alignment horizontal="left" vertical="top" wrapText="1"/>
    </xf>
    <xf numFmtId="43" fontId="41" fillId="0" borderId="31" xfId="0" applyNumberFormat="1" applyFont="1" applyBorder="1" applyAlignment="1">
      <alignment horizontal="left" vertical="top" wrapText="1"/>
    </xf>
    <xf numFmtId="43" fontId="41" fillId="0" borderId="0" xfId="0" applyNumberFormat="1" applyFont="1" applyBorder="1" applyAlignment="1">
      <alignment horizontal="left" vertical="top" wrapText="1"/>
    </xf>
    <xf numFmtId="0" fontId="41" fillId="0" borderId="31" xfId="0" applyFont="1" applyBorder="1" applyAlignment="1">
      <alignment horizontal="center" wrapText="1"/>
    </xf>
    <xf numFmtId="0" fontId="41" fillId="0" borderId="32" xfId="0" applyFont="1" applyBorder="1" applyAlignment="1">
      <alignment horizontal="justify" wrapText="1"/>
    </xf>
    <xf numFmtId="0" fontId="41" fillId="0" borderId="33" xfId="0" applyFont="1" applyBorder="1" applyAlignment="1">
      <alignment horizontal="justify" wrapText="1"/>
    </xf>
    <xf numFmtId="0" fontId="41" fillId="0" borderId="0" xfId="0" applyFont="1" applyAlignment="1">
      <alignment wrapText="1"/>
    </xf>
    <xf numFmtId="0" fontId="42" fillId="0" borderId="0" xfId="0" applyFont="1" applyAlignment="1">
      <alignment wrapText="1"/>
    </xf>
    <xf numFmtId="0" fontId="42" fillId="0" borderId="0" xfId="0" applyFont="1" applyAlignment="1">
      <alignment horizontal="left" vertical="top" wrapText="1"/>
    </xf>
    <xf numFmtId="0" fontId="41" fillId="0" borderId="0" xfId="0" applyFont="1" applyAlignment="1">
      <alignment wrapText="1"/>
    </xf>
    <xf numFmtId="43" fontId="41" fillId="0" borderId="0" xfId="1" applyFont="1" applyFill="1" applyBorder="1" applyAlignment="1">
      <alignment horizontal="left" wrapText="1"/>
    </xf>
    <xf numFmtId="43" fontId="42" fillId="0" borderId="0" xfId="1" applyFont="1" applyFill="1" applyBorder="1" applyAlignment="1">
      <alignment horizontal="center" wrapText="1"/>
    </xf>
    <xf numFmtId="43" fontId="41" fillId="0" borderId="71" xfId="1" applyFont="1" applyFill="1" applyBorder="1" applyAlignment="1">
      <alignment horizontal="left" wrapText="1"/>
    </xf>
    <xf numFmtId="43" fontId="42" fillId="0" borderId="34" xfId="1" applyFont="1" applyFill="1" applyBorder="1" applyAlignment="1">
      <alignment horizontal="center" wrapText="1"/>
    </xf>
    <xf numFmtId="0" fontId="42" fillId="0" borderId="73" xfId="0" applyFont="1" applyFill="1" applyBorder="1" applyAlignment="1">
      <alignment horizontal="right" vertical="top" wrapText="1"/>
    </xf>
    <xf numFmtId="43" fontId="42" fillId="0" borderId="52" xfId="0" applyNumberFormat="1" applyFont="1" applyFill="1" applyBorder="1" applyAlignment="1">
      <alignment wrapText="1"/>
    </xf>
    <xf numFmtId="165" fontId="42" fillId="0" borderId="54" xfId="0" applyNumberFormat="1" applyFont="1" applyFill="1" applyBorder="1" applyAlignment="1">
      <alignment wrapText="1"/>
    </xf>
    <xf numFmtId="0" fontId="183" fillId="0" borderId="0" xfId="0" applyFont="1" applyAlignment="1">
      <alignment horizontal="justify" wrapText="1"/>
    </xf>
    <xf numFmtId="0" fontId="176" fillId="0" borderId="52" xfId="2" applyFont="1" applyFill="1" applyBorder="1" applyAlignment="1">
      <alignment vertical="top"/>
    </xf>
    <xf numFmtId="0" fontId="176" fillId="0" borderId="53" xfId="2" applyFont="1" applyFill="1" applyBorder="1" applyAlignment="1">
      <alignment vertical="top"/>
    </xf>
    <xf numFmtId="0" fontId="176" fillId="0" borderId="34" xfId="2" applyFont="1" applyFill="1" applyBorder="1" applyAlignment="1">
      <alignment vertical="top"/>
    </xf>
    <xf numFmtId="0" fontId="176" fillId="0" borderId="31" xfId="2" applyFont="1" applyFill="1" applyBorder="1" applyAlignment="1">
      <alignment horizontal="justify" vertical="justify" wrapText="1"/>
    </xf>
    <xf numFmtId="0" fontId="42" fillId="0" borderId="0" xfId="0" applyFont="1" applyAlignment="1">
      <alignment horizontal="center"/>
    </xf>
    <xf numFmtId="0" fontId="42" fillId="0" borderId="31" xfId="0" applyFont="1" applyBorder="1" applyAlignment="1">
      <alignment horizontal="left"/>
    </xf>
    <xf numFmtId="0" fontId="42" fillId="0" borderId="72" xfId="0" applyFont="1" applyBorder="1" applyAlignment="1">
      <alignment horizontal="center"/>
    </xf>
    <xf numFmtId="0" fontId="42" fillId="0" borderId="53" xfId="0" applyFont="1" applyBorder="1"/>
    <xf numFmtId="43" fontId="42" fillId="0" borderId="54" xfId="1" applyFont="1" applyBorder="1"/>
    <xf numFmtId="0" fontId="42" fillId="0" borderId="33" xfId="0" applyFont="1" applyBorder="1" applyAlignment="1">
      <alignment horizontal="center"/>
    </xf>
    <xf numFmtId="0" fontId="42" fillId="0" borderId="52" xfId="0" applyFont="1" applyBorder="1"/>
    <xf numFmtId="43" fontId="41" fillId="0" borderId="33" xfId="1" applyFont="1" applyBorder="1"/>
    <xf numFmtId="43" fontId="41" fillId="0" borderId="31" xfId="1" applyFont="1" applyBorder="1"/>
    <xf numFmtId="0" fontId="182" fillId="74" borderId="31" xfId="0" applyFont="1" applyFill="1" applyBorder="1" applyAlignment="1">
      <alignment horizontal="center" vertical="top"/>
    </xf>
    <xf numFmtId="0" fontId="182" fillId="74" borderId="31" xfId="0" applyFont="1" applyFill="1" applyBorder="1" applyAlignment="1">
      <alignment horizontal="center" vertical="top" wrapText="1"/>
    </xf>
    <xf numFmtId="0" fontId="181" fillId="0" borderId="31" xfId="0" applyFont="1" applyBorder="1" applyAlignment="1">
      <alignment vertical="top" wrapText="1"/>
    </xf>
    <xf numFmtId="0" fontId="181" fillId="0" borderId="0" xfId="0" applyFont="1" applyAlignment="1">
      <alignment vertical="top" wrapText="1"/>
    </xf>
    <xf numFmtId="0" fontId="41" fillId="0" borderId="0" xfId="0" applyFont="1" applyBorder="1" applyAlignment="1">
      <alignment horizontal="left" vertical="center" wrapText="1"/>
    </xf>
    <xf numFmtId="43" fontId="42" fillId="0" borderId="0" xfId="0" applyNumberFormat="1" applyFont="1" applyAlignment="1">
      <alignment wrapText="1"/>
    </xf>
    <xf numFmtId="0" fontId="42" fillId="0" borderId="0" xfId="0" applyFont="1" applyAlignment="1">
      <alignment wrapText="1"/>
    </xf>
    <xf numFmtId="0" fontId="41" fillId="0" borderId="0" xfId="0" applyFont="1" applyAlignment="1">
      <alignment wrapText="1"/>
    </xf>
    <xf numFmtId="0" fontId="42" fillId="0" borderId="73" xfId="0" applyFont="1" applyBorder="1" applyAlignment="1">
      <alignment wrapText="1"/>
    </xf>
    <xf numFmtId="43" fontId="41" fillId="74" borderId="33" xfId="1" applyFont="1" applyFill="1" applyBorder="1" applyAlignment="1">
      <alignment horizontal="center" wrapText="1"/>
    </xf>
    <xf numFmtId="43" fontId="41" fillId="74" borderId="31" xfId="1" applyFont="1" applyFill="1" applyBorder="1" applyAlignment="1">
      <alignment horizontal="center" wrapText="1"/>
    </xf>
    <xf numFmtId="0" fontId="176" fillId="0" borderId="31" xfId="2" quotePrefix="1" applyFont="1" applyFill="1" applyBorder="1" applyAlignment="1">
      <alignment horizontal="left" vertical="center" wrapText="1"/>
    </xf>
    <xf numFmtId="0" fontId="42" fillId="0" borderId="73" xfId="0" applyFont="1" applyBorder="1" applyAlignment="1">
      <alignment wrapText="1"/>
    </xf>
    <xf numFmtId="0" fontId="42" fillId="0" borderId="54" xfId="0" applyFont="1" applyBorder="1" applyAlignment="1">
      <alignment wrapText="1"/>
    </xf>
    <xf numFmtId="0" fontId="42" fillId="0" borderId="0" xfId="0" applyFont="1" applyAlignment="1">
      <alignment wrapText="1"/>
    </xf>
    <xf numFmtId="43" fontId="41" fillId="0" borderId="31" xfId="1" applyFont="1" applyBorder="1" applyAlignment="1">
      <alignment wrapText="1"/>
    </xf>
    <xf numFmtId="0" fontId="184" fillId="31" borderId="0" xfId="3" applyFont="1" applyFill="1" applyBorder="1" applyAlignment="1">
      <alignment horizontal="left" vertical="center"/>
    </xf>
    <xf numFmtId="0" fontId="42" fillId="0" borderId="73" xfId="0" quotePrefix="1" applyFont="1" applyFill="1" applyBorder="1" applyAlignment="1">
      <alignment horizontal="left" vertical="top" wrapText="1"/>
    </xf>
    <xf numFmtId="43" fontId="42" fillId="0" borderId="34" xfId="0" applyNumberFormat="1" applyFont="1" applyFill="1" applyBorder="1" applyAlignment="1">
      <alignment wrapText="1"/>
    </xf>
    <xf numFmtId="214" fontId="42" fillId="74" borderId="32" xfId="1" applyNumberFormat="1" applyFont="1" applyFill="1" applyBorder="1" applyAlignment="1">
      <alignment horizontal="center" wrapText="1"/>
    </xf>
    <xf numFmtId="214" fontId="41" fillId="74" borderId="31" xfId="1" applyNumberFormat="1" applyFont="1" applyFill="1" applyBorder="1" applyAlignment="1">
      <alignment horizontal="center" wrapText="1"/>
    </xf>
    <xf numFmtId="0" fontId="41" fillId="0" borderId="0" xfId="0" applyFont="1" applyAlignment="1">
      <alignment horizontal="center" vertical="center" wrapText="1"/>
    </xf>
    <xf numFmtId="3" fontId="41" fillId="0" borderId="0" xfId="0" applyNumberFormat="1" applyFont="1" applyAlignment="1">
      <alignment wrapText="1"/>
    </xf>
    <xf numFmtId="0" fontId="42" fillId="0" borderId="0" xfId="0" applyFont="1" applyAlignment="1">
      <alignment wrapText="1"/>
    </xf>
    <xf numFmtId="43" fontId="41" fillId="74" borderId="31" xfId="1" applyFont="1" applyFill="1" applyBorder="1" applyAlignment="1">
      <alignment horizontal="center" wrapText="1"/>
    </xf>
    <xf numFmtId="0" fontId="42" fillId="0" borderId="73" xfId="0" quotePrefix="1" applyFont="1" applyBorder="1" applyAlignment="1">
      <alignment horizontal="justify"/>
    </xf>
    <xf numFmtId="0" fontId="40" fillId="0" borderId="79" xfId="2615" applyFont="1" applyFill="1" applyBorder="1" applyAlignment="1">
      <alignment horizontal="left" vertical="top" wrapText="1"/>
    </xf>
    <xf numFmtId="0" fontId="40" fillId="0" borderId="80" xfId="2615" applyFont="1" applyFill="1" applyBorder="1" applyAlignment="1">
      <alignment horizontal="left" vertical="top" wrapText="1"/>
    </xf>
    <xf numFmtId="0" fontId="40" fillId="0" borderId="83" xfId="2615" applyFont="1" applyFill="1" applyBorder="1" applyAlignment="1">
      <alignment horizontal="left" vertical="top" wrapText="1" indent="1"/>
    </xf>
    <xf numFmtId="0" fontId="40" fillId="0" borderId="85" xfId="2615" applyFont="1" applyFill="1" applyBorder="1" applyAlignment="1">
      <alignment horizontal="left" vertical="top" wrapText="1"/>
    </xf>
    <xf numFmtId="0" fontId="40" fillId="0" borderId="86" xfId="2615" applyFont="1" applyFill="1" applyBorder="1" applyAlignment="1">
      <alignment horizontal="left" vertical="top" wrapText="1"/>
    </xf>
    <xf numFmtId="0" fontId="42" fillId="0" borderId="89" xfId="2615" applyFont="1" applyFill="1" applyBorder="1" applyAlignment="1">
      <alignment horizontal="center" vertical="top" wrapText="1"/>
    </xf>
    <xf numFmtId="0" fontId="40" fillId="0" borderId="93" xfId="2615" applyFont="1" applyFill="1" applyBorder="1" applyAlignment="1">
      <alignment horizontal="center" vertical="top" wrapText="1"/>
    </xf>
    <xf numFmtId="0" fontId="42" fillId="0" borderId="93" xfId="2615" applyFont="1" applyFill="1" applyBorder="1" applyAlignment="1">
      <alignment horizontal="center" vertical="top" wrapText="1"/>
    </xf>
    <xf numFmtId="0" fontId="42" fillId="0" borderId="93" xfId="2615" applyFont="1" applyFill="1" applyBorder="1" applyAlignment="1">
      <alignment horizontal="center" vertical="top" wrapText="1"/>
    </xf>
    <xf numFmtId="0" fontId="42" fillId="0" borderId="93" xfId="2615" applyFont="1" applyFill="1" applyBorder="1" applyAlignment="1">
      <alignment horizontal="left" vertical="top" wrapText="1"/>
    </xf>
    <xf numFmtId="0" fontId="42" fillId="0" borderId="93" xfId="2615" applyFont="1" applyFill="1" applyBorder="1" applyAlignment="1">
      <alignment horizontal="center" wrapText="1"/>
    </xf>
    <xf numFmtId="43" fontId="42" fillId="0" borderId="93" xfId="2615" applyNumberFormat="1" applyFont="1" applyFill="1" applyBorder="1" applyAlignment="1">
      <alignment horizontal="left" wrapText="1"/>
    </xf>
    <xf numFmtId="43" fontId="40" fillId="0" borderId="93" xfId="2615" applyNumberFormat="1" applyFont="1" applyFill="1" applyBorder="1" applyAlignment="1">
      <alignment horizontal="left" wrapText="1"/>
    </xf>
    <xf numFmtId="43" fontId="40" fillId="0" borderId="94" xfId="2615" applyNumberFormat="1" applyFont="1" applyFill="1" applyBorder="1" applyAlignment="1">
      <alignment horizontal="left" wrapText="1"/>
    </xf>
    <xf numFmtId="0" fontId="42" fillId="0" borderId="95" xfId="2615" applyFont="1" applyFill="1" applyBorder="1" applyAlignment="1">
      <alignment horizontal="center" wrapText="1"/>
    </xf>
    <xf numFmtId="43" fontId="42" fillId="0" borderId="93" xfId="1" applyFont="1" applyBorder="1" applyAlignment="1">
      <alignment wrapText="1"/>
    </xf>
    <xf numFmtId="0" fontId="42" fillId="0" borderId="94" xfId="2615" applyFont="1" applyFill="1" applyBorder="1" applyAlignment="1">
      <alignment horizontal="left" vertical="top" wrapText="1"/>
    </xf>
    <xf numFmtId="43" fontId="42" fillId="0" borderId="93" xfId="2615" applyNumberFormat="1" applyFont="1" applyFill="1" applyBorder="1" applyAlignment="1">
      <alignment horizontal="center" wrapText="1"/>
    </xf>
    <xf numFmtId="43" fontId="42" fillId="0" borderId="93" xfId="1" applyFont="1" applyFill="1" applyBorder="1" applyAlignment="1">
      <alignment horizontal="center" wrapText="1"/>
    </xf>
    <xf numFmtId="1" fontId="42" fillId="0" borderId="96" xfId="2615" applyNumberFormat="1" applyFont="1" applyFill="1" applyBorder="1" applyAlignment="1">
      <alignment horizontal="center" vertical="top" wrapText="1"/>
    </xf>
    <xf numFmtId="0" fontId="42" fillId="0" borderId="97" xfId="2615" applyFont="1" applyFill="1" applyBorder="1" applyAlignment="1">
      <alignment horizontal="left" vertical="top" wrapText="1"/>
    </xf>
    <xf numFmtId="0" fontId="40" fillId="0" borderId="93" xfId="2615" applyFont="1" applyFill="1" applyBorder="1" applyAlignment="1">
      <alignment horizontal="left" wrapText="1"/>
    </xf>
    <xf numFmtId="0" fontId="40" fillId="0" borderId="51" xfId="2615" applyFont="1" applyFill="1" applyBorder="1" applyAlignment="1">
      <alignment horizontal="left" wrapText="1"/>
    </xf>
    <xf numFmtId="0" fontId="42" fillId="0" borderId="96" xfId="2615" applyFont="1" applyFill="1" applyBorder="1" applyAlignment="1">
      <alignment horizontal="center" vertical="top" wrapText="1"/>
    </xf>
    <xf numFmtId="0" fontId="42" fillId="0" borderId="98" xfId="2613" applyFont="1" applyBorder="1" applyAlignment="1">
      <alignment wrapText="1"/>
    </xf>
    <xf numFmtId="43" fontId="42" fillId="0" borderId="99" xfId="1" applyFont="1" applyBorder="1" applyAlignment="1">
      <alignment wrapText="1"/>
    </xf>
    <xf numFmtId="43" fontId="42" fillId="0" borderId="98" xfId="1" applyFont="1" applyBorder="1" applyAlignment="1">
      <alignment wrapText="1"/>
    </xf>
    <xf numFmtId="0" fontId="42" fillId="0" borderId="98" xfId="2615" applyFont="1" applyFill="1" applyBorder="1" applyAlignment="1">
      <alignment horizontal="center" wrapText="1"/>
    </xf>
    <xf numFmtId="0" fontId="41" fillId="31" borderId="0" xfId="3" applyFont="1" applyFill="1" applyBorder="1" applyAlignment="1">
      <alignment horizontal="left" vertical="center"/>
    </xf>
    <xf numFmtId="39" fontId="41" fillId="31" borderId="0" xfId="3" applyNumberFormat="1" applyFont="1" applyFill="1" applyBorder="1" applyAlignment="1" applyProtection="1">
      <alignment horizontal="left" vertical="center"/>
    </xf>
    <xf numFmtId="0" fontId="42" fillId="0" borderId="93" xfId="0" applyFont="1" applyBorder="1" applyAlignment="1"/>
    <xf numFmtId="0" fontId="42" fillId="0" borderId="0" xfId="0" applyFont="1" applyAlignment="1">
      <alignment wrapText="1"/>
    </xf>
    <xf numFmtId="43" fontId="42" fillId="0" borderId="72" xfId="0" applyNumberFormat="1" applyFont="1" applyBorder="1" applyAlignment="1">
      <alignment wrapText="1"/>
    </xf>
    <xf numFmtId="0" fontId="41" fillId="0" borderId="73" xfId="0" applyFont="1" applyBorder="1" applyAlignment="1">
      <alignment horizontal="left" wrapText="1"/>
    </xf>
    <xf numFmtId="43" fontId="42" fillId="0" borderId="71" xfId="1" applyFont="1" applyBorder="1" applyAlignment="1">
      <alignment wrapText="1"/>
    </xf>
    <xf numFmtId="0" fontId="176" fillId="0" borderId="31" xfId="2" applyFont="1" applyFill="1" applyBorder="1" applyAlignment="1">
      <alignment horizontal="center" vertical="center"/>
    </xf>
    <xf numFmtId="0" fontId="42" fillId="0" borderId="0" xfId="0" applyFont="1" applyAlignment="1">
      <alignment horizontal="left" vertical="top" wrapText="1"/>
    </xf>
    <xf numFmtId="0" fontId="41" fillId="0" borderId="0" xfId="0" applyFont="1" applyAlignment="1">
      <alignment wrapText="1"/>
    </xf>
    <xf numFmtId="0" fontId="42" fillId="0" borderId="73" xfId="0" applyFont="1" applyBorder="1" applyAlignment="1">
      <alignment wrapText="1"/>
    </xf>
    <xf numFmtId="0" fontId="42" fillId="0" borderId="54" xfId="0" applyFont="1" applyBorder="1" applyAlignment="1">
      <alignment wrapText="1"/>
    </xf>
    <xf numFmtId="43" fontId="41" fillId="0" borderId="31" xfId="1" applyFont="1" applyBorder="1" applyAlignment="1">
      <alignment wrapText="1"/>
    </xf>
    <xf numFmtId="0" fontId="42" fillId="0" borderId="0" xfId="0" applyFont="1" applyAlignment="1">
      <alignment wrapText="1"/>
    </xf>
    <xf numFmtId="0" fontId="42" fillId="0" borderId="0" xfId="0" applyFont="1" applyBorder="1" applyAlignment="1">
      <alignment horizontal="left" wrapText="1"/>
    </xf>
    <xf numFmtId="43" fontId="41" fillId="74" borderId="33" xfId="1" applyFont="1" applyFill="1" applyBorder="1" applyAlignment="1">
      <alignment horizontal="center" wrapText="1"/>
    </xf>
    <xf numFmtId="43" fontId="41" fillId="74" borderId="31" xfId="1" applyFont="1" applyFill="1" applyBorder="1" applyAlignment="1">
      <alignment horizontal="center" wrapText="1"/>
    </xf>
    <xf numFmtId="43" fontId="42" fillId="0" borderId="73" xfId="1" applyNumberFormat="1" applyFont="1" applyBorder="1" applyAlignment="1">
      <alignment wrapText="1"/>
    </xf>
    <xf numFmtId="165" fontId="42" fillId="0" borderId="72" xfId="0" applyNumberFormat="1" applyFont="1" applyBorder="1" applyAlignment="1">
      <alignment wrapText="1"/>
    </xf>
    <xf numFmtId="0" fontId="42" fillId="0" borderId="52" xfId="0" applyFont="1" applyBorder="1" applyAlignment="1">
      <alignment wrapText="1"/>
    </xf>
    <xf numFmtId="43" fontId="42" fillId="0" borderId="77" xfId="1" applyFont="1" applyBorder="1" applyAlignment="1">
      <alignment wrapText="1"/>
    </xf>
    <xf numFmtId="43" fontId="176" fillId="0" borderId="31" xfId="1" applyNumberFormat="1" applyFont="1" applyFill="1" applyBorder="1" applyAlignment="1">
      <alignment horizontal="left" vertical="center"/>
    </xf>
    <xf numFmtId="43" fontId="176" fillId="31" borderId="31" xfId="1" applyNumberFormat="1" applyFont="1" applyFill="1" applyBorder="1" applyAlignment="1">
      <alignment horizontal="left" vertical="center"/>
    </xf>
    <xf numFmtId="167" fontId="42" fillId="31" borderId="32" xfId="1" applyNumberFormat="1" applyFont="1" applyFill="1" applyBorder="1" applyAlignment="1">
      <alignment vertical="top" wrapText="1"/>
    </xf>
    <xf numFmtId="214" fontId="41" fillId="74" borderId="52" xfId="1" applyNumberFormat="1" applyFont="1" applyFill="1" applyBorder="1" applyAlignment="1">
      <alignment horizontal="center" wrapText="1"/>
    </xf>
    <xf numFmtId="43" fontId="42" fillId="74" borderId="72" xfId="1" applyFont="1" applyFill="1" applyBorder="1" applyAlignment="1">
      <alignment horizontal="center" wrapText="1"/>
    </xf>
    <xf numFmtId="43" fontId="42" fillId="74" borderId="52" xfId="1" applyFont="1" applyFill="1" applyBorder="1" applyAlignment="1">
      <alignment horizontal="center" wrapText="1"/>
    </xf>
    <xf numFmtId="0" fontId="41" fillId="0" borderId="32" xfId="0" applyFont="1" applyBorder="1" applyAlignment="1">
      <alignment wrapText="1"/>
    </xf>
    <xf numFmtId="165" fontId="42" fillId="0" borderId="53" xfId="0" applyNumberFormat="1" applyFont="1" applyFill="1" applyBorder="1" applyAlignment="1">
      <alignment wrapText="1"/>
    </xf>
    <xf numFmtId="0" fontId="41" fillId="0" borderId="0" xfId="0" applyFont="1" applyAlignment="1">
      <alignment horizontal="right" vertical="top" wrapText="1"/>
    </xf>
    <xf numFmtId="0" fontId="41" fillId="0" borderId="0" xfId="0" applyFont="1" applyAlignment="1">
      <alignment wrapText="1"/>
    </xf>
    <xf numFmtId="0" fontId="42" fillId="0" borderId="73" xfId="0" applyFont="1" applyBorder="1" applyAlignment="1">
      <alignment wrapText="1"/>
    </xf>
    <xf numFmtId="0" fontId="182" fillId="74" borderId="31" xfId="0" applyFont="1" applyFill="1" applyBorder="1" applyAlignment="1">
      <alignment horizontal="center" vertical="top"/>
    </xf>
    <xf numFmtId="0" fontId="181" fillId="0" borderId="31" xfId="0" applyFont="1" applyBorder="1"/>
    <xf numFmtId="0" fontId="42" fillId="0" borderId="31" xfId="0" applyFont="1" applyFill="1" applyBorder="1" applyAlignment="1">
      <alignment wrapText="1"/>
    </xf>
    <xf numFmtId="0" fontId="42" fillId="0" borderId="31" xfId="0" applyFont="1" applyBorder="1" applyAlignment="1">
      <alignment wrapText="1"/>
    </xf>
    <xf numFmtId="0" fontId="182" fillId="0" borderId="31" xfId="0" applyFont="1" applyBorder="1"/>
    <xf numFmtId="0" fontId="182" fillId="74" borderId="31" xfId="0" applyFont="1" applyFill="1" applyBorder="1" applyAlignment="1">
      <alignment horizontal="center"/>
    </xf>
    <xf numFmtId="0" fontId="42" fillId="0" borderId="0" xfId="0" applyFont="1" applyAlignment="1">
      <alignment wrapText="1"/>
    </xf>
    <xf numFmtId="0" fontId="41" fillId="0" borderId="0" xfId="0" applyFont="1" applyAlignment="1">
      <alignment wrapText="1"/>
    </xf>
    <xf numFmtId="0" fontId="42" fillId="0" borderId="73" xfId="0" applyFont="1" applyBorder="1" applyAlignment="1">
      <alignment wrapText="1"/>
    </xf>
    <xf numFmtId="0" fontId="42" fillId="0" borderId="0" xfId="0" applyFont="1" applyAlignment="1">
      <alignment wrapText="1"/>
    </xf>
    <xf numFmtId="43" fontId="41" fillId="74" borderId="31" xfId="1" applyFont="1" applyFill="1" applyBorder="1" applyAlignment="1">
      <alignment horizontal="center" wrapText="1"/>
    </xf>
    <xf numFmtId="0" fontId="41" fillId="0" borderId="0" xfId="0" applyFont="1" applyAlignment="1">
      <alignment horizontal="right" vertical="center" wrapText="1"/>
    </xf>
    <xf numFmtId="0" fontId="42" fillId="0" borderId="0" xfId="0" applyFont="1" applyFill="1" applyBorder="1" applyAlignment="1">
      <alignment horizontal="justify" vertical="justify" wrapText="1"/>
    </xf>
    <xf numFmtId="0" fontId="42" fillId="0" borderId="32" xfId="0" applyFont="1" applyBorder="1" applyAlignment="1">
      <alignment wrapText="1"/>
    </xf>
    <xf numFmtId="43" fontId="41" fillId="0" borderId="32" xfId="1" applyFont="1" applyFill="1" applyBorder="1" applyAlignment="1">
      <alignment horizontal="center" wrapText="1"/>
    </xf>
    <xf numFmtId="43" fontId="41" fillId="0" borderId="76" xfId="1" applyFont="1" applyFill="1" applyBorder="1" applyAlignment="1">
      <alignment wrapText="1"/>
    </xf>
    <xf numFmtId="0" fontId="41" fillId="0" borderId="0" xfId="0" applyFont="1" applyFill="1" applyAlignment="1">
      <alignment wrapText="1"/>
    </xf>
    <xf numFmtId="167" fontId="42" fillId="0" borderId="73" xfId="1" applyNumberFormat="1" applyFont="1" applyBorder="1" applyAlignment="1">
      <alignment wrapText="1"/>
    </xf>
    <xf numFmtId="167" fontId="42" fillId="0" borderId="53" xfId="1" applyNumberFormat="1" applyFont="1" applyBorder="1" applyAlignment="1">
      <alignment wrapText="1"/>
    </xf>
    <xf numFmtId="167" fontId="42" fillId="0" borderId="54" xfId="1" applyNumberFormat="1" applyFont="1" applyBorder="1" applyAlignment="1">
      <alignment wrapText="1"/>
    </xf>
    <xf numFmtId="167" fontId="42" fillId="0" borderId="34" xfId="1" applyNumberFormat="1" applyFont="1" applyBorder="1" applyAlignment="1">
      <alignment wrapText="1"/>
    </xf>
    <xf numFmtId="167" fontId="42" fillId="31" borderId="73" xfId="1" applyNumberFormat="1" applyFont="1" applyFill="1" applyBorder="1" applyAlignment="1">
      <alignment wrapText="1"/>
    </xf>
    <xf numFmtId="167" fontId="42" fillId="0" borderId="76" xfId="1" applyNumberFormat="1" applyFont="1" applyBorder="1" applyAlignment="1">
      <alignment wrapText="1"/>
    </xf>
    <xf numFmtId="43" fontId="42" fillId="74" borderId="32" xfId="1" applyFont="1" applyFill="1" applyBorder="1" applyAlignment="1">
      <alignment horizontal="center" vertical="center" wrapText="1"/>
    </xf>
    <xf numFmtId="43" fontId="42" fillId="74" borderId="31" xfId="1" applyFont="1" applyFill="1" applyBorder="1" applyAlignment="1">
      <alignment horizontal="center" vertical="center" wrapText="1"/>
    </xf>
    <xf numFmtId="43" fontId="42" fillId="74" borderId="33" xfId="1" applyFont="1" applyFill="1" applyBorder="1" applyAlignment="1">
      <alignment horizontal="center" vertical="center" wrapText="1"/>
    </xf>
    <xf numFmtId="43" fontId="41" fillId="74" borderId="32" xfId="1" applyFont="1" applyFill="1" applyBorder="1" applyAlignment="1">
      <alignment horizontal="center" vertical="center" wrapText="1"/>
    </xf>
    <xf numFmtId="0" fontId="41" fillId="0" borderId="0" xfId="0" applyFont="1" applyBorder="1" applyAlignment="1">
      <alignment horizontal="center" vertical="center" wrapText="1"/>
    </xf>
    <xf numFmtId="0" fontId="41" fillId="0" borderId="0" xfId="0" applyFont="1" applyAlignment="1">
      <alignment wrapText="1"/>
    </xf>
    <xf numFmtId="0" fontId="42" fillId="0" borderId="73" xfId="0" applyFont="1" applyBorder="1" applyAlignment="1">
      <alignment wrapText="1"/>
    </xf>
    <xf numFmtId="0" fontId="42" fillId="0" borderId="0" xfId="0" applyFont="1" applyAlignment="1">
      <alignment wrapText="1"/>
    </xf>
    <xf numFmtId="43" fontId="41" fillId="74" borderId="33" xfId="1" applyFont="1" applyFill="1" applyBorder="1" applyAlignment="1">
      <alignment horizontal="center" wrapText="1"/>
    </xf>
    <xf numFmtId="0" fontId="30" fillId="0" borderId="0" xfId="0" applyFont="1" applyAlignment="1">
      <alignment vertical="center"/>
    </xf>
    <xf numFmtId="43" fontId="41" fillId="74" borderId="32" xfId="1" applyFont="1" applyFill="1" applyBorder="1" applyAlignment="1">
      <alignment horizontal="left" vertical="center" wrapText="1"/>
    </xf>
    <xf numFmtId="0" fontId="0" fillId="0" borderId="0" xfId="0" applyAlignment="1">
      <alignment vertical="center"/>
    </xf>
    <xf numFmtId="0" fontId="30" fillId="0" borderId="0" xfId="0" applyFont="1" applyAlignment="1">
      <alignment horizontal="center" vertical="center"/>
    </xf>
    <xf numFmtId="0" fontId="0" fillId="0" borderId="0" xfId="0" applyAlignment="1">
      <alignment horizontal="center" vertical="center"/>
    </xf>
    <xf numFmtId="0" fontId="42" fillId="0" borderId="73" xfId="0" applyFont="1" applyFill="1" applyBorder="1" applyAlignment="1">
      <alignment horizontal="left" vertical="top" wrapText="1"/>
    </xf>
    <xf numFmtId="0" fontId="42" fillId="0" borderId="53" xfId="0" applyFont="1" applyFill="1" applyBorder="1" applyAlignment="1">
      <alignment horizontal="left" vertical="top" wrapText="1"/>
    </xf>
    <xf numFmtId="0" fontId="42" fillId="0" borderId="53" xfId="0" applyFont="1" applyFill="1" applyBorder="1" applyAlignment="1">
      <alignment horizontal="justify" vertical="top" wrapText="1"/>
    </xf>
    <xf numFmtId="0" fontId="41" fillId="0" borderId="53" xfId="0" applyFont="1" applyFill="1" applyBorder="1" applyAlignment="1">
      <alignment horizontal="justify" vertical="top" wrapText="1"/>
    </xf>
    <xf numFmtId="0" fontId="41" fillId="0" borderId="73" xfId="0" applyFont="1" applyFill="1" applyBorder="1" applyAlignment="1">
      <alignment horizontal="left" vertical="top" wrapText="1"/>
    </xf>
    <xf numFmtId="0" fontId="42" fillId="0" borderId="73" xfId="0" applyFont="1" applyFill="1" applyBorder="1" applyAlignment="1">
      <alignment horizontal="left" wrapText="1"/>
    </xf>
    <xf numFmtId="0" fontId="42" fillId="0" borderId="73" xfId="0" applyFont="1" applyFill="1" applyBorder="1" applyAlignment="1">
      <alignment horizontal="left" vertical="center" wrapText="1"/>
    </xf>
    <xf numFmtId="0" fontId="175" fillId="0" borderId="31" xfId="2" applyFont="1" applyFill="1" applyBorder="1" applyAlignment="1">
      <alignment horizontal="center" vertical="center" wrapText="1"/>
    </xf>
    <xf numFmtId="0" fontId="4" fillId="0" borderId="5" xfId="0" applyFont="1" applyBorder="1" applyAlignment="1">
      <alignment horizontal="right" vertical="top" wrapText="1"/>
    </xf>
    <xf numFmtId="0" fontId="5" fillId="0" borderId="7" xfId="0" applyFont="1" applyBorder="1" applyAlignment="1">
      <alignment horizontal="center" vertical="top" wrapText="1"/>
    </xf>
    <xf numFmtId="0" fontId="5" fillId="0" borderId="9" xfId="0" applyFont="1" applyBorder="1" applyAlignment="1">
      <alignment horizontal="center" vertical="top" wrapText="1"/>
    </xf>
    <xf numFmtId="0" fontId="5" fillId="0" borderId="16" xfId="0" applyFont="1" applyBorder="1" applyAlignment="1">
      <alignment horizontal="center" vertical="top" wrapText="1"/>
    </xf>
    <xf numFmtId="0" fontId="10" fillId="0" borderId="0" xfId="0" applyFont="1" applyAlignment="1">
      <alignment horizontal="left" wrapText="1" shrinkToFit="1"/>
    </xf>
    <xf numFmtId="0" fontId="10" fillId="0" borderId="0" xfId="0" applyFont="1" applyAlignment="1">
      <alignment horizontal="left" wrapText="1"/>
    </xf>
    <xf numFmtId="0" fontId="5" fillId="0" borderId="0" xfId="0" applyFont="1" applyAlignment="1">
      <alignment horizontal="left"/>
    </xf>
    <xf numFmtId="0" fontId="5" fillId="0" borderId="0" xfId="0" applyFont="1" applyAlignment="1">
      <alignment horizontal="left" wrapText="1"/>
    </xf>
    <xf numFmtId="168" fontId="5" fillId="0" borderId="6" xfId="0" applyNumberFormat="1" applyFont="1" applyBorder="1" applyAlignment="1">
      <alignment horizontal="left" vertical="top" wrapText="1"/>
    </xf>
    <xf numFmtId="168" fontId="5" fillId="0" borderId="1" xfId="0" applyNumberFormat="1" applyFont="1" applyBorder="1" applyAlignment="1">
      <alignment horizontal="left" vertical="top" wrapText="1"/>
    </xf>
    <xf numFmtId="0" fontId="5" fillId="0" borderId="6" xfId="0" applyFont="1" applyBorder="1" applyAlignment="1">
      <alignment horizontal="left" vertical="top" wrapText="1"/>
    </xf>
    <xf numFmtId="0" fontId="5" fillId="0" borderId="1" xfId="0" applyFont="1" applyBorder="1" applyAlignment="1">
      <alignment horizontal="left" vertical="top" wrapText="1"/>
    </xf>
    <xf numFmtId="0" fontId="4" fillId="0" borderId="5" xfId="0" applyFont="1" applyBorder="1" applyAlignment="1">
      <alignment horizontal="center"/>
    </xf>
    <xf numFmtId="0" fontId="4" fillId="0" borderId="7" xfId="0" applyFont="1" applyBorder="1" applyAlignment="1">
      <alignment horizontal="center" vertical="top" wrapText="1"/>
    </xf>
    <xf numFmtId="0" fontId="4" fillId="0" borderId="9" xfId="0" applyFont="1" applyBorder="1" applyAlignment="1">
      <alignment horizontal="center" vertical="top" wrapText="1"/>
    </xf>
    <xf numFmtId="0" fontId="4" fillId="0" borderId="16" xfId="0" applyFont="1" applyBorder="1" applyAlignment="1">
      <alignment horizontal="center" vertical="top" wrapText="1"/>
    </xf>
    <xf numFmtId="0" fontId="5" fillId="0" borderId="6" xfId="0" quotePrefix="1" applyFont="1" applyBorder="1" applyAlignment="1">
      <alignment horizontal="left" wrapText="1" indent="1"/>
    </xf>
    <xf numFmtId="0" fontId="5" fillId="0" borderId="0" xfId="0" applyFont="1" applyBorder="1" applyAlignment="1">
      <alignment horizontal="left" wrapText="1" indent="1"/>
    </xf>
    <xf numFmtId="0" fontId="4" fillId="0" borderId="6" xfId="0" applyFont="1" applyBorder="1" applyAlignment="1">
      <alignment horizontal="justify" vertical="top" wrapText="1"/>
    </xf>
    <xf numFmtId="0" fontId="4" fillId="0" borderId="0" xfId="0" applyFont="1" applyAlignment="1">
      <alignment horizontal="left" wrapText="1"/>
    </xf>
    <xf numFmtId="0" fontId="11" fillId="0" borderId="0" xfId="0" applyFont="1" applyAlignment="1">
      <alignment horizontal="left"/>
    </xf>
    <xf numFmtId="0" fontId="4" fillId="0" borderId="0" xfId="0" applyFont="1" applyAlignment="1">
      <alignment horizontal="left"/>
    </xf>
    <xf numFmtId="0" fontId="12" fillId="0" borderId="6" xfId="0" applyFont="1" applyBorder="1" applyAlignment="1">
      <alignment horizontal="left" vertical="top" wrapText="1" indent="2"/>
    </xf>
    <xf numFmtId="0" fontId="12" fillId="0" borderId="1" xfId="0" applyFont="1" applyBorder="1" applyAlignment="1">
      <alignment horizontal="left" vertical="top" wrapText="1" indent="2"/>
    </xf>
    <xf numFmtId="0" fontId="5" fillId="0" borderId="0" xfId="0" applyFont="1" applyBorder="1" applyAlignment="1">
      <alignment horizontal="left" vertical="top" wrapText="1"/>
    </xf>
    <xf numFmtId="0" fontId="11" fillId="0" borderId="0" xfId="0" applyFont="1" applyAlignment="1">
      <alignment wrapText="1"/>
    </xf>
    <xf numFmtId="0" fontId="5" fillId="0" borderId="0" xfId="0" applyFont="1" applyAlignment="1" applyProtection="1">
      <alignment horizontal="center" vertical="top" wrapText="1"/>
    </xf>
    <xf numFmtId="0" fontId="5" fillId="0" borderId="10" xfId="0" applyFont="1" applyBorder="1" applyAlignment="1">
      <alignment horizontal="left" vertical="top" wrapText="1"/>
    </xf>
    <xf numFmtId="0" fontId="5" fillId="0" borderId="13" xfId="0" applyFont="1" applyBorder="1" applyAlignment="1">
      <alignment horizontal="left" vertical="top" wrapText="1"/>
    </xf>
    <xf numFmtId="0" fontId="12" fillId="0" borderId="0" xfId="0" applyFont="1" applyAlignment="1">
      <alignment horizontal="left" wrapText="1"/>
    </xf>
    <xf numFmtId="0" fontId="5" fillId="0" borderId="0" xfId="0" applyFont="1" applyAlignment="1">
      <alignment wrapText="1"/>
    </xf>
    <xf numFmtId="0" fontId="11" fillId="0" borderId="0" xfId="0" applyFont="1" applyAlignment="1">
      <alignment horizontal="left" wrapText="1"/>
    </xf>
    <xf numFmtId="0" fontId="4" fillId="0" borderId="0" xfId="0" applyFont="1" applyAlignment="1">
      <alignment wrapText="1"/>
    </xf>
    <xf numFmtId="168" fontId="5" fillId="3" borderId="7" xfId="0" applyNumberFormat="1" applyFont="1" applyFill="1" applyBorder="1" applyAlignment="1">
      <alignment horizontal="center" vertical="top" wrapText="1"/>
    </xf>
    <xf numFmtId="168" fontId="5" fillId="3" borderId="9" xfId="0" applyNumberFormat="1" applyFont="1" applyFill="1" applyBorder="1" applyAlignment="1">
      <alignment horizontal="center" vertical="top" wrapText="1"/>
    </xf>
    <xf numFmtId="168" fontId="5" fillId="0" borderId="7" xfId="0" applyNumberFormat="1" applyFont="1" applyBorder="1" applyAlignment="1">
      <alignment horizontal="center"/>
    </xf>
    <xf numFmtId="168" fontId="5" fillId="0" borderId="16" xfId="0" applyNumberFormat="1" applyFont="1" applyBorder="1" applyAlignment="1">
      <alignment horizontal="center"/>
    </xf>
    <xf numFmtId="168" fontId="5" fillId="0" borderId="9" xfId="0" applyNumberFormat="1" applyFont="1" applyBorder="1" applyAlignment="1">
      <alignment horizontal="center"/>
    </xf>
    <xf numFmtId="168" fontId="5" fillId="0" borderId="0" xfId="0" applyNumberFormat="1" applyFont="1" applyFill="1" applyBorder="1" applyAlignment="1">
      <alignment horizontal="center" vertical="top" wrapText="1"/>
    </xf>
    <xf numFmtId="168" fontId="11" fillId="0" borderId="0" xfId="0" applyNumberFormat="1" applyFont="1" applyAlignment="1">
      <alignment horizontal="left"/>
    </xf>
    <xf numFmtId="0" fontId="5" fillId="0" borderId="0" xfId="0" applyFont="1" applyAlignment="1">
      <alignment horizontal="center" wrapText="1"/>
    </xf>
    <xf numFmtId="168" fontId="4" fillId="0" borderId="0" xfId="0" applyNumberFormat="1" applyFont="1" applyAlignment="1">
      <alignment horizontal="left"/>
    </xf>
    <xf numFmtId="168" fontId="11" fillId="0" borderId="0" xfId="0" applyNumberFormat="1" applyFont="1" applyAlignment="1">
      <alignment wrapText="1"/>
    </xf>
    <xf numFmtId="168" fontId="5" fillId="3" borderId="10" xfId="0" applyNumberFormat="1" applyFont="1" applyFill="1" applyBorder="1" applyAlignment="1">
      <alignment horizontal="center" vertical="top" wrapText="1"/>
    </xf>
    <xf numFmtId="168" fontId="5" fillId="3" borderId="12" xfId="0" applyNumberFormat="1" applyFont="1" applyFill="1" applyBorder="1" applyAlignment="1">
      <alignment horizontal="center" vertical="top" wrapText="1"/>
    </xf>
    <xf numFmtId="168" fontId="5" fillId="0" borderId="0" xfId="0" applyNumberFormat="1" applyFont="1" applyAlignment="1">
      <alignment horizontal="left" wrapText="1"/>
    </xf>
    <xf numFmtId="168" fontId="5" fillId="0" borderId="0" xfId="0" applyNumberFormat="1" applyFont="1" applyAlignment="1" applyProtection="1">
      <alignment horizontal="center" vertical="top" wrapText="1"/>
    </xf>
    <xf numFmtId="168" fontId="5" fillId="0" borderId="0" xfId="0" applyNumberFormat="1" applyFont="1" applyAlignment="1">
      <alignment horizontal="left"/>
    </xf>
    <xf numFmtId="168" fontId="4" fillId="0" borderId="6" xfId="0" applyNumberFormat="1" applyFont="1" applyBorder="1" applyAlignment="1">
      <alignment horizontal="center" vertical="top" wrapText="1"/>
    </xf>
    <xf numFmtId="168" fontId="4" fillId="0" borderId="1" xfId="0" applyNumberFormat="1" applyFont="1" applyBorder="1" applyAlignment="1">
      <alignment horizontal="center" vertical="top" wrapText="1"/>
    </xf>
    <xf numFmtId="168" fontId="4" fillId="0" borderId="0" xfId="0" applyNumberFormat="1" applyFont="1" applyAlignment="1">
      <alignment horizontal="left" wrapText="1"/>
    </xf>
    <xf numFmtId="168" fontId="5" fillId="0" borderId="6" xfId="0" quotePrefix="1" applyNumberFormat="1" applyFont="1" applyBorder="1" applyAlignment="1">
      <alignment horizontal="left" wrapText="1" indent="1"/>
    </xf>
    <xf numFmtId="168" fontId="5" fillId="0" borderId="0" xfId="0" applyNumberFormat="1" applyFont="1" applyBorder="1" applyAlignment="1">
      <alignment horizontal="left" wrapText="1" indent="1"/>
    </xf>
    <xf numFmtId="168" fontId="4" fillId="0" borderId="6" xfId="0" applyNumberFormat="1" applyFont="1" applyBorder="1" applyAlignment="1">
      <alignment horizontal="justify" vertical="top" wrapText="1"/>
    </xf>
    <xf numFmtId="168" fontId="5" fillId="0" borderId="0" xfId="0" applyNumberFormat="1" applyFont="1" applyAlignment="1">
      <alignment horizontal="left" vertical="top" wrapText="1"/>
    </xf>
    <xf numFmtId="168" fontId="5" fillId="0" borderId="6" xfId="0" applyNumberFormat="1" applyFont="1" applyBorder="1" applyAlignment="1">
      <alignment horizontal="center" vertical="top" wrapText="1"/>
    </xf>
    <xf numFmtId="0" fontId="0" fillId="0" borderId="1" xfId="0" applyBorder="1"/>
    <xf numFmtId="168" fontId="5" fillId="0" borderId="38" xfId="0" applyNumberFormat="1" applyFont="1" applyBorder="1" applyAlignment="1">
      <alignment horizontal="center"/>
    </xf>
    <xf numFmtId="168" fontId="5" fillId="0" borderId="39" xfId="0" applyNumberFormat="1" applyFont="1" applyBorder="1" applyAlignment="1">
      <alignment horizontal="center"/>
    </xf>
    <xf numFmtId="168" fontId="5" fillId="0" borderId="40" xfId="0" applyNumberFormat="1" applyFont="1" applyBorder="1" applyAlignment="1">
      <alignment horizontal="center"/>
    </xf>
    <xf numFmtId="168" fontId="10" fillId="0" borderId="0" xfId="0" applyNumberFormat="1" applyFont="1" applyAlignment="1">
      <alignment horizontal="left" wrapText="1"/>
    </xf>
    <xf numFmtId="168" fontId="18" fillId="0" borderId="0" xfId="0" applyNumberFormat="1" applyFont="1" applyAlignment="1">
      <alignment horizontal="center"/>
    </xf>
    <xf numFmtId="168" fontId="5" fillId="0" borderId="7" xfId="0" applyNumberFormat="1" applyFont="1" applyBorder="1" applyAlignment="1">
      <alignment horizontal="center" vertical="top" wrapText="1"/>
    </xf>
    <xf numFmtId="168" fontId="5" fillId="0" borderId="9" xfId="0" applyNumberFormat="1" applyFont="1" applyBorder="1" applyAlignment="1">
      <alignment horizontal="center" vertical="top" wrapText="1"/>
    </xf>
    <xf numFmtId="168" fontId="5" fillId="0" borderId="0" xfId="0" applyNumberFormat="1" applyFont="1" applyBorder="1" applyAlignment="1">
      <alignment horizontal="center" vertical="top" wrapText="1"/>
    </xf>
    <xf numFmtId="168" fontId="10" fillId="0" borderId="0" xfId="0" applyNumberFormat="1" applyFont="1" applyAlignment="1">
      <alignment horizontal="left" wrapText="1" shrinkToFit="1"/>
    </xf>
    <xf numFmtId="0" fontId="4" fillId="0" borderId="6" xfId="0" applyFont="1" applyBorder="1" applyAlignment="1">
      <alignment horizontal="left" wrapText="1"/>
    </xf>
    <xf numFmtId="0" fontId="4" fillId="0" borderId="0" xfId="0" applyFont="1" applyBorder="1" applyAlignment="1">
      <alignment horizontal="left" wrapText="1"/>
    </xf>
    <xf numFmtId="0" fontId="4" fillId="0" borderId="1" xfId="0" applyFont="1" applyBorder="1" applyAlignment="1">
      <alignment horizontal="left" wrapText="1"/>
    </xf>
    <xf numFmtId="0" fontId="5" fillId="2" borderId="16" xfId="0" applyFont="1" applyFill="1" applyBorder="1" applyAlignment="1">
      <alignment horizontal="center"/>
    </xf>
    <xf numFmtId="0" fontId="5" fillId="2" borderId="9" xfId="0" applyFont="1" applyFill="1" applyBorder="1" applyAlignment="1">
      <alignment horizontal="center"/>
    </xf>
    <xf numFmtId="0" fontId="4" fillId="0" borderId="7" xfId="0" applyFont="1" applyBorder="1" applyAlignment="1">
      <alignment horizontal="center"/>
    </xf>
    <xf numFmtId="0" fontId="4" fillId="0" borderId="9" xfId="0" applyFont="1" applyBorder="1" applyAlignment="1">
      <alignment horizontal="center"/>
    </xf>
    <xf numFmtId="168" fontId="4" fillId="0" borderId="7" xfId="0" applyNumberFormat="1" applyFont="1" applyBorder="1" applyAlignment="1">
      <alignment horizontal="center"/>
    </xf>
    <xf numFmtId="168" fontId="4" fillId="0" borderId="9" xfId="0" applyNumberFormat="1" applyFont="1" applyBorder="1" applyAlignment="1">
      <alignment horizontal="center"/>
    </xf>
    <xf numFmtId="0" fontId="4" fillId="0" borderId="7" xfId="0" applyFont="1" applyBorder="1" applyAlignment="1">
      <alignment vertical="top"/>
    </xf>
    <xf numFmtId="0" fontId="4" fillId="0" borderId="16" xfId="0" applyFont="1" applyBorder="1" applyAlignment="1">
      <alignment vertical="top"/>
    </xf>
    <xf numFmtId="0" fontId="4" fillId="0" borderId="9" xfId="0" applyFont="1" applyBorder="1" applyAlignment="1">
      <alignment vertical="top"/>
    </xf>
    <xf numFmtId="0" fontId="4" fillId="2" borderId="6" xfId="0" applyFont="1" applyFill="1" applyBorder="1"/>
    <xf numFmtId="0" fontId="4" fillId="2" borderId="0" xfId="0" applyFont="1" applyFill="1" applyBorder="1"/>
    <xf numFmtId="0" fontId="4" fillId="2" borderId="7" xfId="0" applyFont="1" applyFill="1" applyBorder="1"/>
    <xf numFmtId="0" fontId="4" fillId="2" borderId="16" xfId="0" applyFont="1" applyFill="1" applyBorder="1"/>
    <xf numFmtId="0" fontId="4" fillId="0" borderId="13" xfId="0" applyFont="1" applyBorder="1"/>
    <xf numFmtId="0" fontId="4" fillId="0" borderId="5" xfId="0" applyFont="1" applyBorder="1"/>
    <xf numFmtId="0" fontId="4" fillId="0" borderId="10" xfId="0" applyFont="1" applyBorder="1" applyAlignment="1">
      <alignment horizontal="center"/>
    </xf>
    <xf numFmtId="0" fontId="4" fillId="0" borderId="13" xfId="0" applyFont="1" applyBorder="1" applyAlignment="1">
      <alignment horizontal="center"/>
    </xf>
    <xf numFmtId="168" fontId="4" fillId="0" borderId="10" xfId="0" applyNumberFormat="1" applyFont="1" applyBorder="1" applyAlignment="1">
      <alignment horizontal="center"/>
    </xf>
    <xf numFmtId="168" fontId="4" fillId="0" borderId="12" xfId="0" applyNumberFormat="1" applyFont="1" applyBorder="1" applyAlignment="1">
      <alignment horizontal="center"/>
    </xf>
    <xf numFmtId="0" fontId="4" fillId="0" borderId="16" xfId="0" applyFont="1" applyBorder="1" applyAlignment="1">
      <alignment horizontal="center"/>
    </xf>
    <xf numFmtId="168" fontId="4" fillId="0" borderId="13" xfId="0" applyNumberFormat="1" applyFont="1" applyBorder="1" applyAlignment="1">
      <alignment horizontal="right"/>
    </xf>
    <xf numFmtId="168" fontId="4" fillId="0" borderId="12" xfId="0" applyNumberFormat="1" applyFont="1" applyBorder="1" applyAlignment="1">
      <alignment horizontal="right"/>
    </xf>
    <xf numFmtId="168" fontId="4" fillId="0" borderId="0" xfId="0" applyNumberFormat="1" applyFont="1" applyBorder="1" applyAlignment="1">
      <alignment horizontal="right"/>
    </xf>
    <xf numFmtId="168" fontId="4" fillId="0" borderId="1" xfId="0" applyNumberFormat="1" applyFont="1" applyBorder="1" applyAlignment="1">
      <alignment horizontal="right"/>
    </xf>
    <xf numFmtId="0" fontId="4" fillId="0" borderId="10" xfId="0" applyFont="1" applyBorder="1"/>
    <xf numFmtId="0" fontId="4" fillId="0" borderId="14" xfId="0" applyFont="1" applyBorder="1"/>
    <xf numFmtId="0" fontId="5" fillId="0" borderId="13" xfId="0" applyFont="1" applyBorder="1"/>
    <xf numFmtId="0" fontId="5" fillId="0" borderId="5" xfId="0" applyFont="1" applyBorder="1"/>
    <xf numFmtId="0" fontId="18" fillId="0" borderId="7" xfId="0" applyFont="1" applyBorder="1" applyAlignment="1">
      <alignment horizontal="center"/>
    </xf>
    <xf numFmtId="0" fontId="18" fillId="0" borderId="16" xfId="0" applyFont="1" applyBorder="1" applyAlignment="1">
      <alignment horizontal="center"/>
    </xf>
    <xf numFmtId="0" fontId="18" fillId="0" borderId="9" xfId="0" applyFont="1" applyBorder="1" applyAlignment="1">
      <alignment horizontal="center"/>
    </xf>
    <xf numFmtId="0" fontId="0" fillId="0" borderId="12" xfId="0" applyBorder="1"/>
    <xf numFmtId="0" fontId="0" fillId="0" borderId="5" xfId="0" applyBorder="1"/>
    <xf numFmtId="0" fontId="0" fillId="0" borderId="2" xfId="0" applyBorder="1"/>
    <xf numFmtId="0" fontId="0" fillId="0" borderId="14" xfId="0" applyBorder="1"/>
    <xf numFmtId="0" fontId="5" fillId="0" borderId="6" xfId="0" applyFont="1" applyFill="1" applyBorder="1" applyAlignment="1">
      <alignment horizontal="left" vertical="top" wrapText="1"/>
    </xf>
    <xf numFmtId="0" fontId="5" fillId="0" borderId="1" xfId="0" applyFont="1" applyFill="1" applyBorder="1" applyAlignment="1">
      <alignment horizontal="left" vertical="top" wrapText="1"/>
    </xf>
    <xf numFmtId="168" fontId="4" fillId="0" borderId="6" xfId="0" applyNumberFormat="1" applyFont="1" applyBorder="1" applyAlignment="1">
      <alignment horizontal="justify" vertical="justify" wrapText="1"/>
    </xf>
    <xf numFmtId="168" fontId="4" fillId="0" borderId="1" xfId="0" applyNumberFormat="1" applyFont="1" applyBorder="1" applyAlignment="1">
      <alignment horizontal="justify" vertical="justify" wrapText="1"/>
    </xf>
    <xf numFmtId="168" fontId="5" fillId="0" borderId="6" xfId="0" applyNumberFormat="1" applyFont="1" applyFill="1" applyBorder="1" applyAlignment="1">
      <alignment horizontal="center" vertical="top" wrapText="1"/>
    </xf>
    <xf numFmtId="0" fontId="5" fillId="7" borderId="7" xfId="0" applyFont="1" applyFill="1" applyBorder="1" applyAlignment="1">
      <alignment horizontal="center" vertical="top" wrapText="1"/>
    </xf>
    <xf numFmtId="0" fontId="5" fillId="7" borderId="9" xfId="0" applyFont="1" applyFill="1" applyBorder="1" applyAlignment="1">
      <alignment horizontal="center" vertical="top" wrapText="1"/>
    </xf>
    <xf numFmtId="0" fontId="5" fillId="7" borderId="0" xfId="0" applyFont="1" applyFill="1" applyAlignment="1">
      <alignment horizontal="left" wrapText="1"/>
    </xf>
    <xf numFmtId="0" fontId="5" fillId="0" borderId="0" xfId="0" applyFont="1" applyAlignment="1">
      <alignment horizontal="center" vertical="center" wrapText="1"/>
    </xf>
    <xf numFmtId="168" fontId="5" fillId="0" borderId="36" xfId="0" applyNumberFormat="1" applyFont="1" applyBorder="1" applyAlignment="1">
      <alignment horizontal="center"/>
    </xf>
    <xf numFmtId="168" fontId="5" fillId="0" borderId="37" xfId="0" applyNumberFormat="1" applyFont="1" applyBorder="1" applyAlignment="1">
      <alignment horizontal="center"/>
    </xf>
    <xf numFmtId="0" fontId="5" fillId="0" borderId="1" xfId="0" quotePrefix="1" applyFont="1" applyBorder="1" applyAlignment="1">
      <alignment horizontal="left" wrapText="1" indent="1"/>
    </xf>
    <xf numFmtId="0" fontId="5" fillId="7" borderId="0" xfId="0" applyFont="1" applyFill="1" applyAlignment="1">
      <alignment horizontal="left"/>
    </xf>
    <xf numFmtId="0" fontId="7" fillId="0" borderId="5" xfId="0" applyFont="1" applyBorder="1" applyAlignment="1">
      <alignment horizontal="center"/>
    </xf>
    <xf numFmtId="0" fontId="5" fillId="0" borderId="12" xfId="0" applyFont="1" applyBorder="1" applyAlignment="1">
      <alignment horizontal="left" vertical="top" wrapText="1"/>
    </xf>
    <xf numFmtId="0" fontId="176" fillId="0" borderId="52" xfId="2" applyFont="1" applyFill="1" applyBorder="1" applyAlignment="1">
      <alignment horizontal="center" vertical="center"/>
    </xf>
    <xf numFmtId="0" fontId="176" fillId="0" borderId="53" xfId="2" applyFont="1" applyFill="1" applyBorder="1" applyAlignment="1">
      <alignment horizontal="center" vertical="center"/>
    </xf>
    <xf numFmtId="0" fontId="176" fillId="0" borderId="34" xfId="2" applyFont="1" applyFill="1" applyBorder="1" applyAlignment="1">
      <alignment horizontal="center" vertical="center"/>
    </xf>
    <xf numFmtId="0" fontId="175" fillId="0" borderId="52" xfId="2" applyFont="1" applyFill="1" applyBorder="1" applyAlignment="1">
      <alignment horizontal="center" vertical="top"/>
    </xf>
    <xf numFmtId="0" fontId="175" fillId="0" borderId="53" xfId="2" applyFont="1" applyFill="1" applyBorder="1" applyAlignment="1">
      <alignment horizontal="center" vertical="top"/>
    </xf>
    <xf numFmtId="0" fontId="175" fillId="0" borderId="34" xfId="2" applyFont="1" applyFill="1" applyBorder="1" applyAlignment="1">
      <alignment horizontal="center" vertical="top"/>
    </xf>
    <xf numFmtId="0" fontId="176" fillId="0" borderId="31" xfId="2" applyFont="1" applyFill="1" applyBorder="1" applyAlignment="1">
      <alignment horizontal="center" vertical="center"/>
    </xf>
    <xf numFmtId="0" fontId="41" fillId="0" borderId="0" xfId="0" applyFont="1" applyAlignment="1">
      <alignment wrapText="1"/>
    </xf>
    <xf numFmtId="0" fontId="42" fillId="0" borderId="73" xfId="0" applyFont="1" applyBorder="1" applyAlignment="1">
      <alignment wrapText="1"/>
    </xf>
    <xf numFmtId="0" fontId="42" fillId="0" borderId="54" xfId="0" applyFont="1" applyBorder="1" applyAlignment="1">
      <alignment wrapText="1"/>
    </xf>
    <xf numFmtId="0" fontId="41" fillId="0" borderId="32" xfId="0" applyFont="1" applyBorder="1" applyAlignment="1">
      <alignment horizontal="justify" wrapText="1"/>
    </xf>
    <xf numFmtId="0" fontId="41" fillId="0" borderId="33" xfId="0" applyFont="1" applyBorder="1" applyAlignment="1">
      <alignment horizontal="justify" wrapText="1"/>
    </xf>
    <xf numFmtId="43" fontId="41" fillId="0" borderId="31" xfId="1" applyFont="1" applyBorder="1" applyAlignment="1">
      <alignment wrapText="1"/>
    </xf>
    <xf numFmtId="43" fontId="42" fillId="74" borderId="31" xfId="1" applyFont="1" applyFill="1" applyBorder="1" applyAlignment="1">
      <alignment horizontal="left" wrapText="1"/>
    </xf>
    <xf numFmtId="43" fontId="42" fillId="0" borderId="73" xfId="1" applyFont="1" applyFill="1" applyBorder="1" applyAlignment="1">
      <alignment horizontal="left" wrapText="1"/>
    </xf>
    <xf numFmtId="43" fontId="42" fillId="0" borderId="54" xfId="1" applyFont="1" applyFill="1" applyBorder="1" applyAlignment="1">
      <alignment horizontal="left" wrapText="1"/>
    </xf>
    <xf numFmtId="0" fontId="182" fillId="74" borderId="31" xfId="0" applyFont="1" applyFill="1" applyBorder="1" applyAlignment="1">
      <alignment horizontal="center" vertical="top"/>
    </xf>
    <xf numFmtId="0" fontId="181" fillId="0" borderId="31" xfId="0" applyFont="1" applyBorder="1"/>
    <xf numFmtId="0" fontId="42" fillId="0" borderId="0" xfId="0" applyFont="1" applyAlignment="1">
      <alignment horizontal="justify" vertical="justify" wrapText="1"/>
    </xf>
    <xf numFmtId="0" fontId="182" fillId="0" borderId="27" xfId="0" applyFont="1" applyBorder="1" applyAlignment="1">
      <alignment wrapText="1"/>
    </xf>
    <xf numFmtId="0" fontId="41" fillId="0" borderId="0" xfId="0" applyFont="1" applyAlignment="1">
      <alignment horizontal="left" vertical="top" wrapText="1"/>
    </xf>
    <xf numFmtId="0" fontId="42" fillId="0" borderId="0" xfId="0" applyFont="1" applyAlignment="1">
      <alignment horizontal="left" vertical="top" wrapText="1"/>
    </xf>
    <xf numFmtId="0" fontId="182" fillId="0" borderId="0" xfId="0" applyFont="1" applyAlignment="1">
      <alignment vertical="top" wrapText="1"/>
    </xf>
    <xf numFmtId="0" fontId="42" fillId="0" borderId="0" xfId="0" applyFont="1" applyAlignment="1">
      <alignment horizontal="left" vertical="center" wrapText="1"/>
    </xf>
    <xf numFmtId="0" fontId="42" fillId="0" borderId="0" xfId="0" applyFont="1" applyBorder="1" applyAlignment="1">
      <alignment horizontal="left" wrapText="1"/>
    </xf>
    <xf numFmtId="0" fontId="42" fillId="0" borderId="0" xfId="0" applyFont="1" applyAlignment="1">
      <alignment wrapText="1"/>
    </xf>
    <xf numFmtId="0" fontId="42" fillId="0" borderId="0" xfId="0" applyFont="1" applyBorder="1" applyAlignment="1">
      <alignment horizontal="left" vertical="top" wrapText="1"/>
    </xf>
    <xf numFmtId="0" fontId="41" fillId="0" borderId="0" xfId="0" applyFont="1" applyAlignment="1">
      <alignment horizontal="left" vertical="center" wrapText="1"/>
    </xf>
    <xf numFmtId="0" fontId="42" fillId="0" borderId="0" xfId="0" applyFont="1" applyFill="1" applyBorder="1" applyAlignment="1">
      <alignment horizontal="justify" vertical="justify" wrapText="1"/>
    </xf>
    <xf numFmtId="0" fontId="42" fillId="0" borderId="0" xfId="0" applyFont="1" applyAlignment="1">
      <alignment horizontal="left" wrapText="1"/>
    </xf>
    <xf numFmtId="0" fontId="41" fillId="0" borderId="0" xfId="0" applyFont="1" applyBorder="1" applyAlignment="1">
      <alignment horizontal="left" wrapText="1"/>
    </xf>
    <xf numFmtId="43" fontId="41" fillId="74" borderId="32" xfId="1" applyFont="1" applyFill="1" applyBorder="1" applyAlignment="1">
      <alignment horizontal="center" wrapText="1"/>
    </xf>
    <xf numFmtId="43" fontId="41" fillId="74" borderId="33" xfId="1" applyFont="1" applyFill="1" applyBorder="1" applyAlignment="1">
      <alignment horizontal="center" wrapText="1"/>
    </xf>
    <xf numFmtId="43" fontId="41" fillId="74" borderId="31" xfId="1" applyFont="1" applyFill="1" applyBorder="1" applyAlignment="1">
      <alignment horizontal="center" wrapText="1"/>
    </xf>
    <xf numFmtId="0" fontId="42" fillId="0" borderId="91" xfId="2615" applyFont="1" applyFill="1" applyBorder="1" applyAlignment="1">
      <alignment horizontal="center" vertical="top" wrapText="1"/>
    </xf>
    <xf numFmtId="0" fontId="42" fillId="0" borderId="93" xfId="2615" applyFont="1" applyFill="1" applyBorder="1" applyAlignment="1">
      <alignment horizontal="center" vertical="top" wrapText="1"/>
    </xf>
    <xf numFmtId="0" fontId="40" fillId="0" borderId="91" xfId="2615" applyFont="1" applyFill="1" applyBorder="1" applyAlignment="1">
      <alignment horizontal="center" vertical="top" wrapText="1"/>
    </xf>
    <xf numFmtId="0" fontId="40" fillId="0" borderId="93" xfId="2615" applyFont="1" applyFill="1" applyBorder="1" applyAlignment="1">
      <alignment horizontal="center" vertical="top" wrapText="1"/>
    </xf>
    <xf numFmtId="0" fontId="42" fillId="0" borderId="91" xfId="3" applyFont="1" applyBorder="1" applyAlignment="1">
      <alignment horizontal="center"/>
    </xf>
    <xf numFmtId="0" fontId="42" fillId="0" borderId="93" xfId="3" applyFont="1" applyBorder="1" applyAlignment="1">
      <alignment horizontal="center"/>
    </xf>
    <xf numFmtId="0" fontId="41" fillId="0" borderId="91" xfId="2615" applyFont="1" applyFill="1" applyBorder="1" applyAlignment="1">
      <alignment horizontal="center" vertical="top" wrapText="1"/>
    </xf>
    <xf numFmtId="0" fontId="146" fillId="0" borderId="91" xfId="2615" applyFont="1" applyFill="1" applyBorder="1" applyAlignment="1">
      <alignment horizontal="center" vertical="top" wrapText="1"/>
    </xf>
    <xf numFmtId="0" fontId="146" fillId="0" borderId="93" xfId="2615" applyFont="1" applyFill="1" applyBorder="1" applyAlignment="1">
      <alignment horizontal="center" vertical="top" wrapText="1"/>
    </xf>
    <xf numFmtId="0" fontId="40" fillId="0" borderId="92" xfId="2615" applyFont="1" applyFill="1" applyBorder="1" applyAlignment="1">
      <alignment horizontal="center" vertical="top" wrapText="1"/>
    </xf>
    <xf numFmtId="0" fontId="40" fillId="0" borderId="80" xfId="2615" applyFont="1" applyFill="1" applyBorder="1" applyAlignment="1">
      <alignment horizontal="center" vertical="top" wrapText="1"/>
    </xf>
    <xf numFmtId="0" fontId="40" fillId="0" borderId="84" xfId="2615" applyFont="1" applyFill="1" applyBorder="1" applyAlignment="1">
      <alignment horizontal="center" vertical="top" wrapText="1"/>
    </xf>
    <xf numFmtId="0" fontId="41" fillId="0" borderId="74" xfId="3" applyFont="1" applyBorder="1" applyAlignment="1">
      <alignment horizontal="right"/>
    </xf>
    <xf numFmtId="0" fontId="42" fillId="0" borderId="81" xfId="2615" applyFont="1" applyFill="1" applyBorder="1" applyAlignment="1">
      <alignment horizontal="left" vertical="top" wrapText="1"/>
    </xf>
    <xf numFmtId="0" fontId="42" fillId="0" borderId="80" xfId="2615" applyFont="1" applyFill="1" applyBorder="1" applyAlignment="1">
      <alignment horizontal="left" vertical="top" wrapText="1"/>
    </xf>
    <xf numFmtId="0" fontId="42" fillId="0" borderId="82" xfId="2615" applyFont="1" applyFill="1" applyBorder="1" applyAlignment="1">
      <alignment horizontal="left" vertical="top" wrapText="1"/>
    </xf>
    <xf numFmtId="0" fontId="42" fillId="0" borderId="81" xfId="2615" applyFont="1" applyFill="1" applyBorder="1" applyAlignment="1">
      <alignment horizontal="left" vertical="top" wrapText="1" indent="7"/>
    </xf>
    <xf numFmtId="0" fontId="42" fillId="0" borderId="80" xfId="2615" applyFont="1" applyFill="1" applyBorder="1" applyAlignment="1">
      <alignment horizontal="left" vertical="top" wrapText="1" indent="7"/>
    </xf>
    <xf numFmtId="0" fontId="42" fillId="0" borderId="84" xfId="2615" applyFont="1" applyFill="1" applyBorder="1" applyAlignment="1">
      <alignment horizontal="left" vertical="top" wrapText="1" indent="7"/>
    </xf>
    <xf numFmtId="3" fontId="42" fillId="0" borderId="87" xfId="2615" applyNumberFormat="1" applyFont="1" applyFill="1" applyBorder="1" applyAlignment="1">
      <alignment horizontal="center" vertical="top" wrapText="1"/>
    </xf>
    <xf numFmtId="0" fontId="42" fillId="0" borderId="86" xfId="2615" applyFont="1" applyFill="1" applyBorder="1" applyAlignment="1">
      <alignment horizontal="center" vertical="top" wrapText="1"/>
    </xf>
    <xf numFmtId="0" fontId="42" fillId="0" borderId="88" xfId="2615" applyFont="1" applyFill="1" applyBorder="1" applyAlignment="1">
      <alignment horizontal="center" vertical="top" wrapText="1"/>
    </xf>
    <xf numFmtId="0" fontId="42" fillId="0" borderId="90" xfId="2615" applyFont="1" applyFill="1" applyBorder="1" applyAlignment="1">
      <alignment horizontal="center" vertical="top" wrapText="1"/>
    </xf>
    <xf numFmtId="0" fontId="42" fillId="0" borderId="31" xfId="0" applyFont="1" applyBorder="1" applyAlignment="1">
      <alignment horizontal="center" vertical="center"/>
    </xf>
    <xf numFmtId="0" fontId="42" fillId="0" borderId="31" xfId="0" applyFont="1" applyBorder="1" applyAlignment="1">
      <alignment horizontal="center"/>
    </xf>
    <xf numFmtId="0" fontId="0" fillId="0" borderId="73" xfId="0" applyFont="1" applyFill="1" applyBorder="1" applyAlignment="1">
      <alignment horizontal="center" vertical="center"/>
    </xf>
    <xf numFmtId="0" fontId="0" fillId="0" borderId="0" xfId="0" applyFont="1" applyFill="1" applyBorder="1" applyAlignment="1">
      <alignment horizontal="center" vertical="center"/>
    </xf>
    <xf numFmtId="0" fontId="2" fillId="0" borderId="31" xfId="0" applyFont="1" applyBorder="1" applyAlignment="1">
      <alignment horizontal="center" vertical="center"/>
    </xf>
    <xf numFmtId="0" fontId="0" fillId="0" borderId="31" xfId="0" applyBorder="1" applyAlignment="1">
      <alignment horizontal="center" vertical="center"/>
    </xf>
    <xf numFmtId="0" fontId="2" fillId="0" borderId="31" xfId="0" applyFont="1" applyBorder="1" applyAlignment="1">
      <alignment horizontal="center"/>
    </xf>
    <xf numFmtId="0" fontId="0" fillId="0" borderId="31" xfId="0" applyBorder="1" applyAlignment="1">
      <alignment horizontal="center"/>
    </xf>
    <xf numFmtId="0" fontId="22" fillId="3" borderId="7" xfId="3" applyFont="1" applyFill="1" applyBorder="1" applyAlignment="1">
      <alignment horizontal="center" vertical="top" wrapText="1"/>
    </xf>
    <xf numFmtId="0" fontId="22" fillId="3" borderId="16" xfId="3" applyFont="1" applyFill="1" applyBorder="1" applyAlignment="1">
      <alignment horizontal="center" vertical="top" wrapText="1"/>
    </xf>
    <xf numFmtId="0" fontId="22" fillId="3" borderId="9" xfId="3" applyFont="1" applyFill="1" applyBorder="1" applyAlignment="1">
      <alignment horizontal="center" vertical="top" wrapText="1"/>
    </xf>
    <xf numFmtId="0" fontId="22" fillId="4" borderId="7" xfId="3" applyFont="1" applyFill="1" applyBorder="1" applyAlignment="1">
      <alignment horizontal="center" vertical="top" wrapText="1"/>
    </xf>
    <xf numFmtId="0" fontId="22" fillId="4" borderId="16" xfId="3" applyFont="1" applyFill="1" applyBorder="1" applyAlignment="1">
      <alignment horizontal="center" vertical="top" wrapText="1"/>
    </xf>
    <xf numFmtId="0" fontId="22" fillId="4" borderId="9" xfId="3" applyFont="1" applyFill="1" applyBorder="1" applyAlignment="1">
      <alignment horizontal="center" vertical="top" wrapText="1"/>
    </xf>
  </cellXfs>
  <cellStyles count="2617">
    <cellStyle name=" _x0007_LÓ_x0018_ÄþÍN^NuNVþˆHÁ_x0001__x0018_(n" xfId="19"/>
    <cellStyle name="$" xfId="20"/>
    <cellStyle name="%" xfId="21"/>
    <cellStyle name="% 2" xfId="22"/>
    <cellStyle name="% 3" xfId="753"/>
    <cellStyle name="??" xfId="754"/>
    <cellStyle name="?? [0.00]_ARAVA" xfId="755"/>
    <cellStyle name="???? [0.00]_ARAVA" xfId="756"/>
    <cellStyle name="????_ARAVA" xfId="757"/>
    <cellStyle name="??_ARAVA" xfId="758"/>
    <cellStyle name="_ TDs on Interest( non company) " xfId="759"/>
    <cellStyle name="_ TDs on Interest( non company) _~1236703" xfId="760"/>
    <cellStyle name="_ TDs on Interest( non company) _Depreciation" xfId="761"/>
    <cellStyle name="_ TDs on Interest( non company) _Depreciation Chart Dec-08 New" xfId="762"/>
    <cellStyle name="_ TDs on Interest( non company) _Provision for taxation - March 31, 2007" xfId="763"/>
    <cellStyle name="_~9750087" xfId="764"/>
    <cellStyle name="_080803 Hyperion Mapping" xfId="765"/>
    <cellStyle name="_080803 Hyperion Mapping_~9750087" xfId="766"/>
    <cellStyle name="_080803 Hyperion Mapping_Balance Sheet March 2009 25.09.09" xfId="767"/>
    <cellStyle name="_080803 Hyperion Mapping_Depreciation" xfId="768"/>
    <cellStyle name="_080803 Hyperion Mapping_Depreciation Chart Dec-08 New" xfId="769"/>
    <cellStyle name="_080803 Hyperion Mapping_tax computation dec 2009" xfId="770"/>
    <cellStyle name="_24-01-08 Mapped Trial 31-12-07" xfId="771"/>
    <cellStyle name="_24-01-08 Mapped Trial 31-12-07_Deferred Tax - March 31, 2008" xfId="772"/>
    <cellStyle name="_24-01-08 Mapped Trial 31-12-07_Provision for taxation - March 31, 2008" xfId="773"/>
    <cellStyle name="_Accounts recd 31.03.05" xfId="774"/>
    <cellStyle name="_Accounts recd 31.03.05_Financial Statements - March 2008" xfId="775"/>
    <cellStyle name="_Accounts recd 31.03.05_Financial Statements_15 months ended 31 Mar07" xfId="776"/>
    <cellStyle name="_Accounts recd 31.03.05_Sampe - Schedule VI financial statements" xfId="777"/>
    <cellStyle name="_Accounts recd 31.03.05_Schedule VI financial statements_RIPL_final" xfId="778"/>
    <cellStyle name="_Accounts recd 31.03.05_StatAccounts-Mar06 Revised_FINAL" xfId="779"/>
    <cellStyle name="_Accounts recd 31.03.05_StatAccounts-Mar06 Revised_TEST" xfId="780"/>
    <cellStyle name="_Accrual Entries-Dec" xfId="781"/>
    <cellStyle name="_Balance Sheet March 2009 25.09.09" xfId="782"/>
    <cellStyle name="_Book2" xfId="783"/>
    <cellStyle name="_Depreciation recomputed  31032007 final" xfId="784"/>
    <cellStyle name="_Depreciation recomputed  31032007 final_~9750087" xfId="785"/>
    <cellStyle name="_Depreciation recomputed  31032007 final_Balance Sheet March 2009 25.09.09" xfId="786"/>
    <cellStyle name="_Depreciation recomputed  31032007 final_Depreciation" xfId="787"/>
    <cellStyle name="_Depreciation recomputed  31032007 final_Depreciation Chart Dec-08 New" xfId="788"/>
    <cellStyle name="_Depreciation recomputed  31032007 final_tax computation dec 2009" xfId="789"/>
    <cellStyle name="_Depreciation Working-31 12 07_Final" xfId="790"/>
    <cellStyle name="_Depreciation Working-31 12 07_Final_~1236703" xfId="791"/>
    <cellStyle name="_Depreciation Working-31 12 07_Final_Depreciation" xfId="792"/>
    <cellStyle name="_Depreciation Working-31 12 07_Final_Depreciation Chart Dec-08 New" xfId="793"/>
    <cellStyle name="_Draft Financial Accounts -March'05-draft - 05-09-05" xfId="794"/>
    <cellStyle name="_Draft Financial Accounts -March'05-draft - 05-09-05_~1236703" xfId="795"/>
    <cellStyle name="_Draft Financial Accounts -March'05-draft - 05-09-05_Depreciation" xfId="796"/>
    <cellStyle name="_Draft Financial Accounts -March'05-draft - 05-09-05_Depreciation Chart Dec-08 New" xfId="797"/>
    <cellStyle name="_Draft Financial Accounts -March'05-draft - 05-09-05_Provision for taxation - March 31, 2007" xfId="798"/>
    <cellStyle name="_Finalupload" xfId="799"/>
    <cellStyle name="_Finalupload_~9750087" xfId="800"/>
    <cellStyle name="_Finalupload_Balance Sheet March 2009 25.09.09" xfId="801"/>
    <cellStyle name="_Finalupload_tax computation dec 2009" xfId="802"/>
    <cellStyle name="_Interface" xfId="803"/>
    <cellStyle name="_Interface_~9750087" xfId="804"/>
    <cellStyle name="_Interface_Balance Sheet March 2009 25.09.09" xfId="805"/>
    <cellStyle name="_Interface_tax computation dec 2009" xfId="806"/>
    <cellStyle name="_Leave Balance as on 31 09 06" xfId="807"/>
    <cellStyle name="_Leave Balance as on 31 09 06_~9750087" xfId="808"/>
    <cellStyle name="_Leave Balance as on 31 09 06_Balance Sheet March 2009 25.09.09" xfId="809"/>
    <cellStyle name="_Leave Balance as on 31 09 06_tax computation dec 2009" xfId="810"/>
    <cellStyle name="_PL MAY '06-Final" xfId="811"/>
    <cellStyle name="_PL MAY '06-Final_~9750087" xfId="812"/>
    <cellStyle name="_PL MAY '06-Final_Balance Sheet March 2009 25.09.09" xfId="813"/>
    <cellStyle name="_PL MAY '06-Final_tax computation dec 2009" xfId="814"/>
    <cellStyle name="_PL-May'06" xfId="815"/>
    <cellStyle name="_PL-May'06_~9750087" xfId="816"/>
    <cellStyle name="_PL-May'06_Balance Sheet March 2009 25.09.09" xfId="817"/>
    <cellStyle name="_PL-May'06_tax computation dec 2009" xfId="818"/>
    <cellStyle name="_Revenue Estimates by Girish" xfId="819"/>
    <cellStyle name="_Salesand incomeMay'06" xfId="820"/>
    <cellStyle name="_Salesand incomeMay'06_~9750087" xfId="821"/>
    <cellStyle name="_Salesand incomeMay'06_Balance Sheet March 2009 25.09.09" xfId="822"/>
    <cellStyle name="_Salesand incomeMay'06_tax computation dec 2009" xfId="823"/>
    <cellStyle name="_SCITSPL - Tax Liability 31.03.06" xfId="824"/>
    <cellStyle name="_SCITSPL - Tax Liability 31.03.06_Financial Statements - March 2008" xfId="825"/>
    <cellStyle name="_SCITSPL - Tax Liability 31.03.06_Financial Statements_15 months ended 31 Mar07" xfId="826"/>
    <cellStyle name="_SCITSPL - Tax Liability 31.03.06_Sampe - Schedule VI financial statements" xfId="827"/>
    <cellStyle name="_SCITSPL - Tax Liability 31.03.06_Schedule VI financial statements_RIPL_final" xfId="828"/>
    <cellStyle name="_SCITSPL - Tax Liability 31.03.06_StatAccounts-Mar06 Revised_FINAL" xfId="829"/>
    <cellStyle name="_SCITSPL - Tax Liability 31.03.06_StatAccounts-Mar06 Revised_TEST" xfId="830"/>
    <cellStyle name="_Sekar Bill -revised" xfId="23"/>
    <cellStyle name="_Sekar Bill -revised_Polymatech accounts- Mar10" xfId="24"/>
    <cellStyle name="_Sheet2" xfId="831"/>
    <cellStyle name="_Sheet2_~9750087" xfId="832"/>
    <cellStyle name="_Sheet2_Balance Sheet March 2009 25.09.09" xfId="833"/>
    <cellStyle name="_Sheet2_tax computation dec 2009" xfId="834"/>
    <cellStyle name="_Sheet4" xfId="835"/>
    <cellStyle name="_Sheet4_~9750087" xfId="836"/>
    <cellStyle name="_Sheet4_Balance Sheet March 2009 25.09.09" xfId="837"/>
    <cellStyle name="_Sheet4_tax computation dec 2009" xfId="838"/>
    <cellStyle name="_Sheet5" xfId="839"/>
    <cellStyle name="_Sheet5_~9750087" xfId="840"/>
    <cellStyle name="_Sheet5_Balance Sheet March 2009 25.09.09" xfId="841"/>
    <cellStyle name="_Sheet5_tax computation dec 2009" xfId="842"/>
    <cellStyle name="_StatAccounts-Dec'05-Revised" xfId="843"/>
    <cellStyle name="_Tax Audit Annexure" xfId="844"/>
    <cellStyle name="_Tax Audit Annexure_~1236703" xfId="845"/>
    <cellStyle name="_Tax Audit Annexure_Depreciation" xfId="846"/>
    <cellStyle name="_Tax Audit Annexure_Depreciation Chart Dec-08 New" xfId="847"/>
    <cellStyle name="_Tax Audit Annexure_Provision for taxation - March 31, 2007" xfId="848"/>
    <cellStyle name="_tax computation dec 2009" xfId="849"/>
    <cellStyle name="_TDS  ON  contract  " xfId="850"/>
    <cellStyle name="_TDS  ON  contract  _~1236703" xfId="851"/>
    <cellStyle name="_TDS  ON  contract  _Depreciation" xfId="852"/>
    <cellStyle name="_TDS  ON  contract  _Depreciation Chart Dec-08 New" xfId="853"/>
    <cellStyle name="_TDS  ON  contract  _Provision for taxation - March 31, 2007" xfId="854"/>
    <cellStyle name="_TDS on  Brokerage  (2)" xfId="855"/>
    <cellStyle name="_TDS on  Brokerage  (2)_~1236703" xfId="856"/>
    <cellStyle name="_TDS on  Brokerage  (2)_Depreciation" xfId="857"/>
    <cellStyle name="_TDS on  Brokerage  (2)_Depreciation Chart Dec-08 New" xfId="858"/>
    <cellStyle name="_TDS on  Brokerage  (2)_Provision for taxation - March 31, 2007" xfId="859"/>
    <cellStyle name="_TDS on Cont ( company )) " xfId="860"/>
    <cellStyle name="_TDS on Cont ( company )) _~1236703" xfId="861"/>
    <cellStyle name="_TDS on Cont ( company )) _Depreciation" xfId="862"/>
    <cellStyle name="_TDS on Cont ( company )) _Depreciation Chart Dec-08 New" xfId="863"/>
    <cellStyle name="_TDS on Cont ( company )) _Provision for taxation - March 31, 2007" xfId="864"/>
    <cellStyle name="_TDS on prof Company  (2)" xfId="865"/>
    <cellStyle name="_TDS on prof Company  (2)_~1236703" xfId="866"/>
    <cellStyle name="_TDS on prof Company  (2)_Depreciation" xfId="867"/>
    <cellStyle name="_TDS on prof Company  (2)_Depreciation Chart Dec-08 New" xfId="868"/>
    <cellStyle name="_TDS on prof Company  (2)_Provision for taxation - March 31, 2007" xfId="869"/>
    <cellStyle name="_Trial Balance" xfId="870"/>
    <cellStyle name="_Trial Balance_~9750087" xfId="871"/>
    <cellStyle name="_Trial Balance_Balance Sheet March 2009 25.09.09" xfId="872"/>
    <cellStyle name="_Trial Balance_tax computation dec 2009" xfId="873"/>
    <cellStyle name="=C:\WINDOWS\SYSTEM32\COMMAND.COM" xfId="874"/>
    <cellStyle name="=C:\WINNT\SYSTEM32\COMMAND.COM" xfId="875"/>
    <cellStyle name="•W_ˆ¶–¼“Y•t" xfId="876"/>
    <cellStyle name="0,0_x000d__x000a_NA_x000d__x000a_" xfId="877"/>
    <cellStyle name="20% - Accent1 2" xfId="25"/>
    <cellStyle name="20% - Accent1 3" xfId="26"/>
    <cellStyle name="20% - Accent1 4" xfId="27"/>
    <cellStyle name="20% - Accent1 5" xfId="28"/>
    <cellStyle name="20% - Accent2 2" xfId="29"/>
    <cellStyle name="20% - Accent2 3" xfId="30"/>
    <cellStyle name="20% - Accent2 4" xfId="31"/>
    <cellStyle name="20% - Accent2 5" xfId="32"/>
    <cellStyle name="20% - Accent3 2" xfId="33"/>
    <cellStyle name="20% - Accent3 3" xfId="34"/>
    <cellStyle name="20% - Accent3 4" xfId="35"/>
    <cellStyle name="20% - Accent3 5" xfId="36"/>
    <cellStyle name="20% - Accent4 2" xfId="37"/>
    <cellStyle name="20% - Accent4 3" xfId="38"/>
    <cellStyle name="20% - Accent4 4" xfId="39"/>
    <cellStyle name="20% - Accent4 5" xfId="40"/>
    <cellStyle name="20% - Accent5 2" xfId="41"/>
    <cellStyle name="20% - Accent5 3" xfId="42"/>
    <cellStyle name="20% - Accent5 4" xfId="43"/>
    <cellStyle name="20% - Accent5 5" xfId="44"/>
    <cellStyle name="20% - Accent6 2" xfId="45"/>
    <cellStyle name="20% - Accent6 3" xfId="46"/>
    <cellStyle name="20% - Accent6 4" xfId="47"/>
    <cellStyle name="20% - Accent6 5" xfId="48"/>
    <cellStyle name="20% - アクセント 1" xfId="49"/>
    <cellStyle name="20% - アクセント 2" xfId="50"/>
    <cellStyle name="20% - アクセント 3" xfId="51"/>
    <cellStyle name="20% - アクセント 4" xfId="52"/>
    <cellStyle name="20% - アクセント 5" xfId="53"/>
    <cellStyle name="20% - アクセント 6" xfId="54"/>
    <cellStyle name="40% - Accent1 2" xfId="55"/>
    <cellStyle name="40% - Accent1 3" xfId="56"/>
    <cellStyle name="40% - Accent1 4" xfId="57"/>
    <cellStyle name="40% - Accent1 5" xfId="58"/>
    <cellStyle name="40% - Accent2 2" xfId="59"/>
    <cellStyle name="40% - Accent2 3" xfId="60"/>
    <cellStyle name="40% - Accent2 4" xfId="61"/>
    <cellStyle name="40% - Accent2 5" xfId="62"/>
    <cellStyle name="40% - Accent3 2" xfId="63"/>
    <cellStyle name="40% - Accent3 3" xfId="64"/>
    <cellStyle name="40% - Accent3 4" xfId="65"/>
    <cellStyle name="40% - Accent3 5" xfId="66"/>
    <cellStyle name="40% - Accent4 2" xfId="67"/>
    <cellStyle name="40% - Accent4 3" xfId="68"/>
    <cellStyle name="40% - Accent4 4" xfId="69"/>
    <cellStyle name="40% - Accent4 5" xfId="70"/>
    <cellStyle name="40% - Accent5 2" xfId="71"/>
    <cellStyle name="40% - Accent5 3" xfId="72"/>
    <cellStyle name="40% - Accent5 4" xfId="73"/>
    <cellStyle name="40% - Accent5 5" xfId="74"/>
    <cellStyle name="40% - Accent6 2" xfId="75"/>
    <cellStyle name="40% - Accent6 3" xfId="76"/>
    <cellStyle name="40% - Accent6 4" xfId="77"/>
    <cellStyle name="40% - Accent6 5" xfId="78"/>
    <cellStyle name="40% - アクセント 1" xfId="79"/>
    <cellStyle name="40% - アクセント 2" xfId="80"/>
    <cellStyle name="40% - アクセント 3" xfId="81"/>
    <cellStyle name="40% - アクセント 4" xfId="82"/>
    <cellStyle name="40% - アクセント 5" xfId="83"/>
    <cellStyle name="40% - アクセント 6" xfId="84"/>
    <cellStyle name="60% - Accent1 2" xfId="85"/>
    <cellStyle name="60% - Accent1 3" xfId="86"/>
    <cellStyle name="60% - Accent1 4" xfId="87"/>
    <cellStyle name="60% - Accent1 5" xfId="88"/>
    <cellStyle name="60% - Accent2 2" xfId="89"/>
    <cellStyle name="60% - Accent2 3" xfId="90"/>
    <cellStyle name="60% - Accent2 4" xfId="91"/>
    <cellStyle name="60% - Accent2 5" xfId="92"/>
    <cellStyle name="60% - Accent3 2" xfId="93"/>
    <cellStyle name="60% - Accent3 3" xfId="94"/>
    <cellStyle name="60% - Accent3 4" xfId="95"/>
    <cellStyle name="60% - Accent3 5" xfId="96"/>
    <cellStyle name="60% - Accent4 2" xfId="97"/>
    <cellStyle name="60% - Accent4 3" xfId="98"/>
    <cellStyle name="60% - Accent4 4" xfId="99"/>
    <cellStyle name="60% - Accent4 5" xfId="100"/>
    <cellStyle name="60% - Accent5 2" xfId="101"/>
    <cellStyle name="60% - Accent5 3" xfId="102"/>
    <cellStyle name="60% - Accent5 4" xfId="103"/>
    <cellStyle name="60% - Accent5 5" xfId="104"/>
    <cellStyle name="60% - Accent6 2" xfId="105"/>
    <cellStyle name="60% - Accent6 3" xfId="106"/>
    <cellStyle name="60% - Accent6 4" xfId="107"/>
    <cellStyle name="60% - Accent6 5" xfId="108"/>
    <cellStyle name="60% - アクセント 1" xfId="109"/>
    <cellStyle name="60% - アクセント 2" xfId="110"/>
    <cellStyle name="60% - アクセント 3" xfId="111"/>
    <cellStyle name="60% - アクセント 4" xfId="112"/>
    <cellStyle name="60% - アクセント 5" xfId="113"/>
    <cellStyle name="60% - アクセント 6" xfId="114"/>
    <cellStyle name="Accent1 2" xfId="115"/>
    <cellStyle name="Accent1 3" xfId="116"/>
    <cellStyle name="Accent1 4" xfId="117"/>
    <cellStyle name="Accent1 5" xfId="118"/>
    <cellStyle name="Accent2 2" xfId="119"/>
    <cellStyle name="Accent2 3" xfId="120"/>
    <cellStyle name="Accent2 4" xfId="121"/>
    <cellStyle name="Accent2 5" xfId="122"/>
    <cellStyle name="Accent3 2" xfId="123"/>
    <cellStyle name="Accent3 3" xfId="124"/>
    <cellStyle name="Accent3 4" xfId="125"/>
    <cellStyle name="Accent3 5" xfId="126"/>
    <cellStyle name="Accent4 2" xfId="127"/>
    <cellStyle name="Accent4 3" xfId="128"/>
    <cellStyle name="Accent4 4" xfId="129"/>
    <cellStyle name="Accent4 5" xfId="130"/>
    <cellStyle name="Accent5 2" xfId="131"/>
    <cellStyle name="Accent5 3" xfId="132"/>
    <cellStyle name="Accent5 4" xfId="133"/>
    <cellStyle name="Accent5 5" xfId="134"/>
    <cellStyle name="Accent6 2" xfId="135"/>
    <cellStyle name="Accent6 3" xfId="136"/>
    <cellStyle name="Accent6 4" xfId="137"/>
    <cellStyle name="Accent6 5" xfId="138"/>
    <cellStyle name="ÅëÈ­_¿µ¹®Á¶Á÷µµ" xfId="878"/>
    <cellStyle name="amount" xfId="139"/>
    <cellStyle name="amount 2" xfId="879"/>
    <cellStyle name="amount 3" xfId="880"/>
    <cellStyle name="amount 4" xfId="881"/>
    <cellStyle name="amount 5" xfId="882"/>
    <cellStyle name="ÄÞ¸¶ [0]_±âÅ¸" xfId="883"/>
    <cellStyle name="ÄÞ¸¶_±âÅ¸" xfId="884"/>
    <cellStyle name="Bad 2" xfId="140"/>
    <cellStyle name="Bad 3" xfId="141"/>
    <cellStyle name="Bad 4" xfId="142"/>
    <cellStyle name="Bad 5" xfId="143"/>
    <cellStyle name="Body" xfId="144"/>
    <cellStyle name="Body text" xfId="145"/>
    <cellStyle name="BoldRed" xfId="146"/>
    <cellStyle name="Ç¥ÁØ_¿ù°£¿ä¾àº¸°í" xfId="885"/>
    <cellStyle name="Calc Currency (0)" xfId="147"/>
    <cellStyle name="Calc Currency (0) 2" xfId="886"/>
    <cellStyle name="Calc Currency (0) 3" xfId="887"/>
    <cellStyle name="Calc Currency (0) 4" xfId="888"/>
    <cellStyle name="Calc Currency (0) 5" xfId="889"/>
    <cellStyle name="Calc Currency (0) 6" xfId="890"/>
    <cellStyle name="Calc Currency (2)" xfId="148"/>
    <cellStyle name="Calc Percent (0)" xfId="149"/>
    <cellStyle name="Calc Percent (1)" xfId="150"/>
    <cellStyle name="Calc Percent (1) 2" xfId="891"/>
    <cellStyle name="Calc Percent (1) 3" xfId="892"/>
    <cellStyle name="Calc Percent (1) 4" xfId="893"/>
    <cellStyle name="Calc Percent (1) 5" xfId="894"/>
    <cellStyle name="Calc Percent (1) 6" xfId="895"/>
    <cellStyle name="Calc Percent (2)" xfId="151"/>
    <cellStyle name="Calc Percent (2) 2" xfId="896"/>
    <cellStyle name="Calc Percent (2) 3" xfId="897"/>
    <cellStyle name="Calc Percent (2) 4" xfId="898"/>
    <cellStyle name="Calc Percent (2) 5" xfId="899"/>
    <cellStyle name="Calc Percent (2) 6" xfId="900"/>
    <cellStyle name="Calc Units (0)" xfId="152"/>
    <cellStyle name="Calc Units (0) 2" xfId="901"/>
    <cellStyle name="Calc Units (0) 3" xfId="902"/>
    <cellStyle name="Calc Units (0) 4" xfId="903"/>
    <cellStyle name="Calc Units (0) 5" xfId="904"/>
    <cellStyle name="Calc Units (0) 6" xfId="905"/>
    <cellStyle name="Calc Units (1)" xfId="153"/>
    <cellStyle name="Calc Units (1) 2" xfId="906"/>
    <cellStyle name="Calc Units (1) 3" xfId="907"/>
    <cellStyle name="Calc Units (1) 4" xfId="908"/>
    <cellStyle name="Calc Units (1) 5" xfId="909"/>
    <cellStyle name="Calc Units (1) 6" xfId="910"/>
    <cellStyle name="Calc Units (2)" xfId="154"/>
    <cellStyle name="Calculation 2" xfId="155"/>
    <cellStyle name="Calculation 2 2" xfId="911"/>
    <cellStyle name="Calculation 2 3" xfId="912"/>
    <cellStyle name="Calculation 2 4" xfId="913"/>
    <cellStyle name="Calculation 2 5" xfId="914"/>
    <cellStyle name="Calculation 3" xfId="156"/>
    <cellStyle name="Calculation 4" xfId="157"/>
    <cellStyle name="Calculation 4 2" xfId="915"/>
    <cellStyle name="Calculation 4 3" xfId="916"/>
    <cellStyle name="Calculation 4 4" xfId="917"/>
    <cellStyle name="Calculation 4 5" xfId="918"/>
    <cellStyle name="Calculation 5" xfId="158"/>
    <cellStyle name="Calculation 5 2" xfId="919"/>
    <cellStyle name="Calculation 5 3" xfId="920"/>
    <cellStyle name="Calculation 5 4" xfId="921"/>
    <cellStyle name="Calculation 5 5" xfId="922"/>
    <cellStyle name="Cat Total" xfId="159"/>
    <cellStyle name="Cat Total 2" xfId="923"/>
    <cellStyle name="Cat Total 3" xfId="924"/>
    <cellStyle name="Cat Total 4" xfId="925"/>
    <cellStyle name="Cat Total 5" xfId="926"/>
    <cellStyle name="category" xfId="160"/>
    <cellStyle name="Check Cell 2" xfId="161"/>
    <cellStyle name="Check Cell 3" xfId="162"/>
    <cellStyle name="Check Cell 4" xfId="163"/>
    <cellStyle name="Check Cell 5" xfId="164"/>
    <cellStyle name="ColumnHeading" xfId="927"/>
    <cellStyle name="Comma" xfId="1" builtinId="3"/>
    <cellStyle name="Comma  - Style1" xfId="165"/>
    <cellStyle name="Comma  - Style2" xfId="166"/>
    <cellStyle name="Comma  - Style3" xfId="167"/>
    <cellStyle name="Comma  - Style4" xfId="168"/>
    <cellStyle name="Comma  - Style5" xfId="169"/>
    <cellStyle name="Comma  - Style6" xfId="170"/>
    <cellStyle name="Comma  - Style7" xfId="171"/>
    <cellStyle name="Comma  - Style8" xfId="172"/>
    <cellStyle name="Comma [0] 2" xfId="173"/>
    <cellStyle name="Comma [0] 2 2" xfId="174"/>
    <cellStyle name="Comma [0] 2 2 2" xfId="175"/>
    <cellStyle name="Comma [0] 2 3" xfId="176"/>
    <cellStyle name="Comma [0] 3" xfId="177"/>
    <cellStyle name="Comma [0] 3 2" xfId="178"/>
    <cellStyle name="Comma [0] 4" xfId="179"/>
    <cellStyle name="Comma [0] 5" xfId="180"/>
    <cellStyle name="Comma [0] 5 2" xfId="181"/>
    <cellStyle name="Comma [0] 6" xfId="182"/>
    <cellStyle name="Comma [0] 7" xfId="183"/>
    <cellStyle name="Comma [00]" xfId="184"/>
    <cellStyle name="Comma [00] 2" xfId="928"/>
    <cellStyle name="Comma [00] 3" xfId="929"/>
    <cellStyle name="Comma [00] 4" xfId="930"/>
    <cellStyle name="Comma [00] 5" xfId="931"/>
    <cellStyle name="Comma [00] 6" xfId="932"/>
    <cellStyle name="Comma 10" xfId="18"/>
    <cellStyle name="Comma 10 2" xfId="933"/>
    <cellStyle name="Comma 10 3" xfId="934"/>
    <cellStyle name="Comma 10 4" xfId="935"/>
    <cellStyle name="Comma 10 5" xfId="936"/>
    <cellStyle name="Comma 10 6" xfId="2612"/>
    <cellStyle name="Comma 11" xfId="185"/>
    <cellStyle name="Comma 11 2" xfId="937"/>
    <cellStyle name="Comma 11 3" xfId="938"/>
    <cellStyle name="Comma 11 4" xfId="939"/>
    <cellStyle name="Comma 11 5" xfId="940"/>
    <cellStyle name="Comma 12" xfId="186"/>
    <cellStyle name="Comma 12 2" xfId="941"/>
    <cellStyle name="Comma 12 3" xfId="942"/>
    <cellStyle name="Comma 12 4" xfId="943"/>
    <cellStyle name="Comma 12 5" xfId="944"/>
    <cellStyle name="Comma 12 6" xfId="945"/>
    <cellStyle name="Comma 13" xfId="187"/>
    <cellStyle name="Comma 13 2" xfId="946"/>
    <cellStyle name="Comma 13 3" xfId="947"/>
    <cellStyle name="Comma 13 4" xfId="948"/>
    <cellStyle name="Comma 13 5" xfId="949"/>
    <cellStyle name="Comma 14" xfId="188"/>
    <cellStyle name="Comma 15" xfId="950"/>
    <cellStyle name="Comma 16" xfId="951"/>
    <cellStyle name="Comma 16 2" xfId="952"/>
    <cellStyle name="Comma 16 3" xfId="953"/>
    <cellStyle name="Comma 16 4" xfId="954"/>
    <cellStyle name="Comma 16 5" xfId="955"/>
    <cellStyle name="Comma 17" xfId="956"/>
    <cellStyle name="Comma 18" xfId="957"/>
    <cellStyle name="Comma 19" xfId="958"/>
    <cellStyle name="Comma 2" xfId="4"/>
    <cellStyle name="Comma 2 10" xfId="189"/>
    <cellStyle name="Comma 2 11" xfId="190"/>
    <cellStyle name="Comma 2 12" xfId="191"/>
    <cellStyle name="Comma 2 13" xfId="192"/>
    <cellStyle name="Comma 2 14" xfId="193"/>
    <cellStyle name="Comma 2 15" xfId="194"/>
    <cellStyle name="Comma 2 16" xfId="195"/>
    <cellStyle name="Comma 2 17" xfId="196"/>
    <cellStyle name="Comma 2 18" xfId="197"/>
    <cellStyle name="Comma 2 19" xfId="198"/>
    <cellStyle name="Comma 2 2" xfId="199"/>
    <cellStyle name="Comma 2 2 10" xfId="200"/>
    <cellStyle name="Comma 2 2 11" xfId="201"/>
    <cellStyle name="Comma 2 2 12" xfId="202"/>
    <cellStyle name="Comma 2 2 13" xfId="203"/>
    <cellStyle name="Comma 2 2 13 2" xfId="204"/>
    <cellStyle name="Comma 2 2 14" xfId="205"/>
    <cellStyle name="Comma 2 2 15" xfId="206"/>
    <cellStyle name="Comma 2 2 16" xfId="207"/>
    <cellStyle name="Comma 2 2 17" xfId="208"/>
    <cellStyle name="Comma 2 2 17 2" xfId="752"/>
    <cellStyle name="Comma 2 2 2" xfId="209"/>
    <cellStyle name="Comma 2 2 2 2" xfId="210"/>
    <cellStyle name="Comma 2 2 2 2 2" xfId="211"/>
    <cellStyle name="Comma 2 2 2 2 2 2" xfId="212"/>
    <cellStyle name="Comma 2 2 2 2 3" xfId="213"/>
    <cellStyle name="Comma 2 2 2 2 4" xfId="214"/>
    <cellStyle name="Comma 2 2 2 2 5" xfId="215"/>
    <cellStyle name="Comma 2 2 2 2 6" xfId="216"/>
    <cellStyle name="Comma 2 2 2 3" xfId="217"/>
    <cellStyle name="Comma 2 2 2 3 2" xfId="218"/>
    <cellStyle name="Comma 2 2 2 4" xfId="219"/>
    <cellStyle name="Comma 2 2 2 5" xfId="220"/>
    <cellStyle name="Comma 2 2 2 6" xfId="221"/>
    <cellStyle name="Comma 2 2 2 7" xfId="222"/>
    <cellStyle name="Comma 2 2 3" xfId="223"/>
    <cellStyle name="Comma 2 2 4" xfId="224"/>
    <cellStyle name="Comma 2 2 5" xfId="225"/>
    <cellStyle name="Comma 2 2 6" xfId="226"/>
    <cellStyle name="Comma 2 2 7" xfId="227"/>
    <cellStyle name="Comma 2 2 8" xfId="228"/>
    <cellStyle name="Comma 2 2 9" xfId="229"/>
    <cellStyle name="Comma 2 20" xfId="230"/>
    <cellStyle name="Comma 2 21" xfId="231"/>
    <cellStyle name="Comma 2 22" xfId="232"/>
    <cellStyle name="Comma 2 23" xfId="233"/>
    <cellStyle name="Comma 2 3" xfId="234"/>
    <cellStyle name="Comma 2 3 2" xfId="235"/>
    <cellStyle name="Comma 2 4" xfId="236"/>
    <cellStyle name="Comma 2 5" xfId="237"/>
    <cellStyle name="Comma 2 6" xfId="238"/>
    <cellStyle name="Comma 2 7" xfId="239"/>
    <cellStyle name="Comma 2 8" xfId="240"/>
    <cellStyle name="Comma 2 9" xfId="241"/>
    <cellStyle name="Comma 20" xfId="959"/>
    <cellStyle name="Comma 21" xfId="960"/>
    <cellStyle name="Comma 22" xfId="2599"/>
    <cellStyle name="Comma 22 2" xfId="742"/>
    <cellStyle name="Comma 23" xfId="961"/>
    <cellStyle name="Comma 24" xfId="2598"/>
    <cellStyle name="Comma 25" xfId="2600"/>
    <cellStyle name="Comma 3" xfId="5"/>
    <cellStyle name="Comma 3 2" xfId="242"/>
    <cellStyle name="Comma 3 2 2" xfId="243"/>
    <cellStyle name="Comma 3 2 3" xfId="244"/>
    <cellStyle name="Comma 3 2 4" xfId="962"/>
    <cellStyle name="Comma 3 2 5" xfId="963"/>
    <cellStyle name="Comma 3 2 6" xfId="964"/>
    <cellStyle name="Comma 3 2 7" xfId="965"/>
    <cellStyle name="Comma 3 3" xfId="245"/>
    <cellStyle name="Comma 3 4" xfId="246"/>
    <cellStyle name="Comma 3 4 2" xfId="966"/>
    <cellStyle name="Comma 3 4 3" xfId="967"/>
    <cellStyle name="Comma 3 4 4" xfId="968"/>
    <cellStyle name="Comma 3 4 5" xfId="969"/>
    <cellStyle name="Comma 4" xfId="6"/>
    <cellStyle name="Comma 4 2" xfId="247"/>
    <cellStyle name="Comma 5" xfId="7"/>
    <cellStyle name="Comma 5 2" xfId="248"/>
    <cellStyle name="Comma 5 2 2" xfId="249"/>
    <cellStyle name="Comma 5 2 3" xfId="250"/>
    <cellStyle name="Comma 5 3" xfId="251"/>
    <cellStyle name="Comma 6" xfId="8"/>
    <cellStyle name="Comma 6 2" xfId="252"/>
    <cellStyle name="Comma 6 3" xfId="253"/>
    <cellStyle name="Comma 7" xfId="14"/>
    <cellStyle name="Comma 7 2" xfId="254"/>
    <cellStyle name="Comma 7 3" xfId="255"/>
    <cellStyle name="Comma 8" xfId="16"/>
    <cellStyle name="Comma 8 2" xfId="256"/>
    <cellStyle name="Comma 9" xfId="257"/>
    <cellStyle name="Comma0" xfId="258"/>
    <cellStyle name="Company Name" xfId="259"/>
    <cellStyle name="Copied" xfId="970"/>
    <cellStyle name="Currency [00]" xfId="260"/>
    <cellStyle name="Currency 2" xfId="9"/>
    <cellStyle name="Currency0" xfId="261"/>
    <cellStyle name="Currency0 2" xfId="971"/>
    <cellStyle name="Currency0 3" xfId="972"/>
    <cellStyle name="Currency0 4" xfId="973"/>
    <cellStyle name="Currency0 5" xfId="974"/>
    <cellStyle name="Currency0 6" xfId="975"/>
    <cellStyle name="Custom - Style8" xfId="262"/>
    <cellStyle name="Data   - Style2" xfId="263"/>
    <cellStyle name="Data   - Style2 2" xfId="976"/>
    <cellStyle name="Data   - Style2 3" xfId="977"/>
    <cellStyle name="Data   - Style2 4" xfId="978"/>
    <cellStyle name="Data   - Style2 5" xfId="979"/>
    <cellStyle name="Date" xfId="264"/>
    <cellStyle name="Date Short" xfId="265"/>
    <cellStyle name="Date_Deferred Tax - March 31, 2008" xfId="980"/>
    <cellStyle name="dd/mm/yy" xfId="981"/>
    <cellStyle name="DELTA" xfId="266"/>
    <cellStyle name="Dezimal [0]_--&gt; Hyperion" xfId="267"/>
    <cellStyle name="Dezimal_ Magirus " xfId="982"/>
    <cellStyle name="E&amp;Y House" xfId="983"/>
    <cellStyle name="Enter Currency (0)" xfId="268"/>
    <cellStyle name="Enter Currency (0) 2" xfId="984"/>
    <cellStyle name="Enter Currency (0) 3" xfId="985"/>
    <cellStyle name="Enter Currency (0) 4" xfId="986"/>
    <cellStyle name="Enter Currency (0) 5" xfId="987"/>
    <cellStyle name="Enter Currency (0) 6" xfId="988"/>
    <cellStyle name="Enter Currency (2)" xfId="269"/>
    <cellStyle name="Enter Units (0)" xfId="270"/>
    <cellStyle name="Enter Units (0) 2" xfId="989"/>
    <cellStyle name="Enter Units (0) 3" xfId="990"/>
    <cellStyle name="Enter Units (0) 4" xfId="991"/>
    <cellStyle name="Enter Units (0) 5" xfId="992"/>
    <cellStyle name="Enter Units (0) 6" xfId="993"/>
    <cellStyle name="Enter Units (1)" xfId="271"/>
    <cellStyle name="Enter Units (1) 2" xfId="994"/>
    <cellStyle name="Enter Units (1) 3" xfId="995"/>
    <cellStyle name="Enter Units (1) 4" xfId="996"/>
    <cellStyle name="Enter Units (1) 5" xfId="997"/>
    <cellStyle name="Enter Units (1) 6" xfId="998"/>
    <cellStyle name="Enter Units (2)" xfId="272"/>
    <cellStyle name="Entered" xfId="999"/>
    <cellStyle name="Euro" xfId="273"/>
    <cellStyle name="Explanatory Text 2" xfId="274"/>
    <cellStyle name="Explanatory Text 3" xfId="275"/>
    <cellStyle name="Explanatory Text 4" xfId="276"/>
    <cellStyle name="Explanatory Text 5" xfId="277"/>
    <cellStyle name="Fixed" xfId="1000"/>
    <cellStyle name="Good 2" xfId="278"/>
    <cellStyle name="Good 3" xfId="279"/>
    <cellStyle name="Good 4" xfId="280"/>
    <cellStyle name="Good 5" xfId="281"/>
    <cellStyle name="Grey" xfId="282"/>
    <cellStyle name="HEADER" xfId="283"/>
    <cellStyle name="Header Total" xfId="284"/>
    <cellStyle name="Header1" xfId="285"/>
    <cellStyle name="Header2" xfId="286"/>
    <cellStyle name="Header2 2" xfId="1001"/>
    <cellStyle name="Header2 3" xfId="1002"/>
    <cellStyle name="Header2 4" xfId="1003"/>
    <cellStyle name="Header2 5" xfId="1004"/>
    <cellStyle name="Header3" xfId="287"/>
    <cellStyle name="Header4" xfId="288"/>
    <cellStyle name="Heading" xfId="289"/>
    <cellStyle name="Heading 1 2" xfId="290"/>
    <cellStyle name="Heading 1 3" xfId="291"/>
    <cellStyle name="Heading 1 4" xfId="292"/>
    <cellStyle name="Heading 1 5" xfId="293"/>
    <cellStyle name="Heading 2 2" xfId="294"/>
    <cellStyle name="Heading 2 3" xfId="295"/>
    <cellStyle name="Heading 2 4" xfId="296"/>
    <cellStyle name="Heading 2 5" xfId="297"/>
    <cellStyle name="Heading 3 2" xfId="298"/>
    <cellStyle name="Heading 3 3" xfId="299"/>
    <cellStyle name="Heading 3 4" xfId="300"/>
    <cellStyle name="Heading 3 5" xfId="301"/>
    <cellStyle name="Heading 4 2" xfId="302"/>
    <cellStyle name="Heading 4 3" xfId="303"/>
    <cellStyle name="Heading 4 4" xfId="304"/>
    <cellStyle name="Heading 4 5" xfId="305"/>
    <cellStyle name="Heading No Underline" xfId="306"/>
    <cellStyle name="Heading With Underline" xfId="307"/>
    <cellStyle name="Heading1" xfId="1005"/>
    <cellStyle name="Heading2" xfId="1006"/>
    <cellStyle name="Hyperlink 2" xfId="308"/>
    <cellStyle name="Hyperlink 3" xfId="309"/>
    <cellStyle name="Indent" xfId="1007"/>
    <cellStyle name="Input [yellow]" xfId="310"/>
    <cellStyle name="Input 2" xfId="311"/>
    <cellStyle name="Input 2 2" xfId="1008"/>
    <cellStyle name="Input 2 3" xfId="1009"/>
    <cellStyle name="Input 2 4" xfId="1010"/>
    <cellStyle name="Input 2 5" xfId="1011"/>
    <cellStyle name="Input 3" xfId="312"/>
    <cellStyle name="Input 4" xfId="313"/>
    <cellStyle name="Input 4 2" xfId="1012"/>
    <cellStyle name="Input 4 3" xfId="1013"/>
    <cellStyle name="Input 4 4" xfId="1014"/>
    <cellStyle name="Input 4 5" xfId="1015"/>
    <cellStyle name="Input 5" xfId="314"/>
    <cellStyle name="Input 5 2" xfId="1016"/>
    <cellStyle name="Input 5 3" xfId="1017"/>
    <cellStyle name="Input 5 4" xfId="1018"/>
    <cellStyle name="Input 5 5" xfId="1019"/>
    <cellStyle name="item2" xfId="1020"/>
    <cellStyle name="KPMG Heading 1" xfId="315"/>
    <cellStyle name="KPMG Heading 2" xfId="316"/>
    <cellStyle name="KPMG Heading 3" xfId="317"/>
    <cellStyle name="KPMG Heading 4" xfId="318"/>
    <cellStyle name="KPMG Normal" xfId="319"/>
    <cellStyle name="KPMG Normal Text" xfId="320"/>
    <cellStyle name="Labels - Style3" xfId="321"/>
    <cellStyle name="Labels - Style3 2" xfId="1021"/>
    <cellStyle name="Labels - Style3 3" xfId="1022"/>
    <cellStyle name="Labels - Style3 4" xfId="1023"/>
    <cellStyle name="Labels - Style3 5" xfId="1024"/>
    <cellStyle name="Link Currency (0)" xfId="322"/>
    <cellStyle name="Link Currency (0) 2" xfId="1025"/>
    <cellStyle name="Link Currency (0) 3" xfId="1026"/>
    <cellStyle name="Link Currency (0) 4" xfId="1027"/>
    <cellStyle name="Link Currency (0) 5" xfId="1028"/>
    <cellStyle name="Link Currency (0) 6" xfId="1029"/>
    <cellStyle name="Link Currency (2)" xfId="323"/>
    <cellStyle name="Link Units (0)" xfId="324"/>
    <cellStyle name="Link Units (0) 2" xfId="1030"/>
    <cellStyle name="Link Units (0) 3" xfId="1031"/>
    <cellStyle name="Link Units (0) 4" xfId="1032"/>
    <cellStyle name="Link Units (0) 5" xfId="1033"/>
    <cellStyle name="Link Units (0) 6" xfId="1034"/>
    <cellStyle name="Link Units (1)" xfId="325"/>
    <cellStyle name="Link Units (1) 2" xfId="1035"/>
    <cellStyle name="Link Units (1) 3" xfId="1036"/>
    <cellStyle name="Link Units (1) 4" xfId="1037"/>
    <cellStyle name="Link Units (1) 5" xfId="1038"/>
    <cellStyle name="Link Units (1) 6" xfId="1039"/>
    <cellStyle name="Link Units (2)" xfId="326"/>
    <cellStyle name="Linked Cell 2" xfId="327"/>
    <cellStyle name="Linked Cell 3" xfId="328"/>
    <cellStyle name="Linked Cell 4" xfId="329"/>
    <cellStyle name="Linked Cell 5" xfId="330"/>
    <cellStyle name="Major Heading" xfId="331"/>
    <cellStyle name="MANKAD" xfId="1040"/>
    <cellStyle name="Milliers [0]_A" xfId="1041"/>
    <cellStyle name="Milliers_A" xfId="1042"/>
    <cellStyle name="mm/dd/yy" xfId="1043"/>
    <cellStyle name="Model" xfId="332"/>
    <cellStyle name="Moeda [0]_aola" xfId="1044"/>
    <cellStyle name="Moeda_aola" xfId="1045"/>
    <cellStyle name="Monétaire [0]_A" xfId="1046"/>
    <cellStyle name="Monétaire_A" xfId="1047"/>
    <cellStyle name="Neutral 2" xfId="333"/>
    <cellStyle name="Neutral 3" xfId="334"/>
    <cellStyle name="Neutral 4" xfId="335"/>
    <cellStyle name="Neutral 5" xfId="336"/>
    <cellStyle name="no dec" xfId="337"/>
    <cellStyle name="NonPrint_Heading" xfId="338"/>
    <cellStyle name="Nor}al" xfId="741"/>
    <cellStyle name="Nor}al 2" xfId="1048"/>
    <cellStyle name="Normal" xfId="0" builtinId="0"/>
    <cellStyle name="Normal - Style1" xfId="339"/>
    <cellStyle name="Normal - Style1 2" xfId="1049"/>
    <cellStyle name="Normal - Style1 3" xfId="1050"/>
    <cellStyle name="Normal - Style1 4" xfId="1051"/>
    <cellStyle name="Normal - Style1 5" xfId="1052"/>
    <cellStyle name="Normal - Style1 6" xfId="1053"/>
    <cellStyle name="Normal - Style2" xfId="340"/>
    <cellStyle name="Normal - Style3" xfId="341"/>
    <cellStyle name="Normal - Style4" xfId="342"/>
    <cellStyle name="Normal - Style5" xfId="343"/>
    <cellStyle name="Normal - Style6" xfId="344"/>
    <cellStyle name="Normal - Style7" xfId="345"/>
    <cellStyle name="Normal - Style8" xfId="346"/>
    <cellStyle name="Normal 10" xfId="17"/>
    <cellStyle name="Normal 10 2" xfId="347"/>
    <cellStyle name="Normal 10 2 2" xfId="348"/>
    <cellStyle name="Normal 10 2 2 2" xfId="1054"/>
    <cellStyle name="Normal 10 2 2 3" xfId="1055"/>
    <cellStyle name="Normal 10 2 2 4" xfId="1056"/>
    <cellStyle name="Normal 10 2 2 5" xfId="1057"/>
    <cellStyle name="Normal 10 2 3" xfId="1058"/>
    <cellStyle name="Normal 10 2 4" xfId="1059"/>
    <cellStyle name="Normal 10 2 5" xfId="1060"/>
    <cellStyle name="Normal 10 2 6" xfId="1061"/>
    <cellStyle name="Normal 10 3" xfId="349"/>
    <cellStyle name="Normal 10 3 2" xfId="1062"/>
    <cellStyle name="Normal 10 3 3" xfId="1063"/>
    <cellStyle name="Normal 10 3 4" xfId="1064"/>
    <cellStyle name="Normal 10 3 5" xfId="1065"/>
    <cellStyle name="Normal 10 4" xfId="350"/>
    <cellStyle name="Normal 10 4 2" xfId="1066"/>
    <cellStyle name="Normal 10 4 3" xfId="1067"/>
    <cellStyle name="Normal 10 4 4" xfId="1068"/>
    <cellStyle name="Normal 10 4 5" xfId="1069"/>
    <cellStyle name="Normal 10 5" xfId="1070"/>
    <cellStyle name="Normal 10 6" xfId="1071"/>
    <cellStyle name="Normal 10 7" xfId="1072"/>
    <cellStyle name="Normal 10 8" xfId="1073"/>
    <cellStyle name="Normal 10 9" xfId="2611"/>
    <cellStyle name="Normal 100" xfId="3"/>
    <cellStyle name="Normal 101" xfId="1074"/>
    <cellStyle name="Normal 101 2" xfId="1075"/>
    <cellStyle name="Normal 101 3" xfId="1076"/>
    <cellStyle name="Normal 101 4" xfId="1077"/>
    <cellStyle name="Normal 101 5" xfId="1078"/>
    <cellStyle name="Normal 102" xfId="1079"/>
    <cellStyle name="Normal 102 2" xfId="1080"/>
    <cellStyle name="Normal 102 3" xfId="1081"/>
    <cellStyle name="Normal 102 4" xfId="1082"/>
    <cellStyle name="Normal 102 5" xfId="1083"/>
    <cellStyle name="Normal 103" xfId="1084"/>
    <cellStyle name="Normal 103 2" xfId="1085"/>
    <cellStyle name="Normal 103 3" xfId="1086"/>
    <cellStyle name="Normal 103 4" xfId="1087"/>
    <cellStyle name="Normal 103 5" xfId="1088"/>
    <cellStyle name="Normal 104" xfId="1089"/>
    <cellStyle name="Normal 104 2" xfId="1090"/>
    <cellStyle name="Normal 104 3" xfId="1091"/>
    <cellStyle name="Normal 104 4" xfId="1092"/>
    <cellStyle name="Normal 104 5" xfId="1093"/>
    <cellStyle name="Normal 105" xfId="1094"/>
    <cellStyle name="Normal 105 2" xfId="1095"/>
    <cellStyle name="Normal 105 3" xfId="1096"/>
    <cellStyle name="Normal 105 4" xfId="1097"/>
    <cellStyle name="Normal 105 5" xfId="1098"/>
    <cellStyle name="Normal 106" xfId="1099"/>
    <cellStyle name="Normal 106 2" xfId="1100"/>
    <cellStyle name="Normal 106 3" xfId="1101"/>
    <cellStyle name="Normal 106 4" xfId="1102"/>
    <cellStyle name="Normal 106 5" xfId="1103"/>
    <cellStyle name="Normal 107" xfId="1104"/>
    <cellStyle name="Normal 107 2" xfId="1105"/>
    <cellStyle name="Normal 107 3" xfId="1106"/>
    <cellStyle name="Normal 107 4" xfId="1107"/>
    <cellStyle name="Normal 107 5" xfId="1108"/>
    <cellStyle name="Normal 108" xfId="1109"/>
    <cellStyle name="Normal 108 2" xfId="1110"/>
    <cellStyle name="Normal 108 3" xfId="1111"/>
    <cellStyle name="Normal 108 4" xfId="1112"/>
    <cellStyle name="Normal 108 5" xfId="1113"/>
    <cellStyle name="Normal 109" xfId="1114"/>
    <cellStyle name="Normal 109 2" xfId="1115"/>
    <cellStyle name="Normal 109 3" xfId="1116"/>
    <cellStyle name="Normal 109 4" xfId="1117"/>
    <cellStyle name="Normal 109 5" xfId="1118"/>
    <cellStyle name="Normal 11" xfId="351"/>
    <cellStyle name="Normal 11 2" xfId="352"/>
    <cellStyle name="Normal 11 2 2" xfId="1119"/>
    <cellStyle name="Normal 11 2 3" xfId="1120"/>
    <cellStyle name="Normal 11 2 4" xfId="1121"/>
    <cellStyle name="Normal 11 2 5" xfId="1122"/>
    <cellStyle name="Normal 11 3" xfId="353"/>
    <cellStyle name="Normal 11 3 2" xfId="1123"/>
    <cellStyle name="Normal 11 3 3" xfId="1124"/>
    <cellStyle name="Normal 11 3 4" xfId="1125"/>
    <cellStyle name="Normal 11 3 5" xfId="1126"/>
    <cellStyle name="Normal 11 4" xfId="354"/>
    <cellStyle name="Normal 11 4 2" xfId="1127"/>
    <cellStyle name="Normal 11 4 3" xfId="1128"/>
    <cellStyle name="Normal 11 4 4" xfId="1129"/>
    <cellStyle name="Normal 11 4 5" xfId="1130"/>
    <cellStyle name="Normal 11 5" xfId="1131"/>
    <cellStyle name="Normal 11 6" xfId="1132"/>
    <cellStyle name="Normal 11 7" xfId="1133"/>
    <cellStyle name="Normal 11 8" xfId="1134"/>
    <cellStyle name="Normal 110" xfId="1135"/>
    <cellStyle name="Normal 110 2" xfId="1136"/>
    <cellStyle name="Normal 110 3" xfId="1137"/>
    <cellStyle name="Normal 110 4" xfId="1138"/>
    <cellStyle name="Normal 110 5" xfId="1139"/>
    <cellStyle name="Normal 111" xfId="1140"/>
    <cellStyle name="Normal 111 2" xfId="1141"/>
    <cellStyle name="Normal 111 3" xfId="1142"/>
    <cellStyle name="Normal 111 4" xfId="1143"/>
    <cellStyle name="Normal 111 5" xfId="1144"/>
    <cellStyle name="Normal 112" xfId="1145"/>
    <cellStyle name="Normal 112 2" xfId="1146"/>
    <cellStyle name="Normal 112 3" xfId="1147"/>
    <cellStyle name="Normal 112 4" xfId="1148"/>
    <cellStyle name="Normal 112 5" xfId="1149"/>
    <cellStyle name="Normal 113" xfId="1150"/>
    <cellStyle name="Normal 113 2" xfId="1151"/>
    <cellStyle name="Normal 113 3" xfId="1152"/>
    <cellStyle name="Normal 113 4" xfId="1153"/>
    <cellStyle name="Normal 113 5" xfId="1154"/>
    <cellStyle name="Normal 114" xfId="1155"/>
    <cellStyle name="Normal 114 2" xfId="1156"/>
    <cellStyle name="Normal 114 3" xfId="1157"/>
    <cellStyle name="Normal 114 4" xfId="1158"/>
    <cellStyle name="Normal 114 5" xfId="1159"/>
    <cellStyle name="Normal 115" xfId="1160"/>
    <cellStyle name="Normal 115 2" xfId="1161"/>
    <cellStyle name="Normal 115 3" xfId="1162"/>
    <cellStyle name="Normal 115 4" xfId="1163"/>
    <cellStyle name="Normal 115 5" xfId="1164"/>
    <cellStyle name="Normal 116" xfId="1165"/>
    <cellStyle name="Normal 116 2" xfId="1166"/>
    <cellStyle name="Normal 116 3" xfId="1167"/>
    <cellStyle name="Normal 116 4" xfId="1168"/>
    <cellStyle name="Normal 116 5" xfId="1169"/>
    <cellStyle name="Normal 117" xfId="1170"/>
    <cellStyle name="Normal 117 2" xfId="1171"/>
    <cellStyle name="Normal 117 3" xfId="1172"/>
    <cellStyle name="Normal 117 4" xfId="1173"/>
    <cellStyle name="Normal 117 5" xfId="1174"/>
    <cellStyle name="Normal 118" xfId="1175"/>
    <cellStyle name="Normal 118 2" xfId="1176"/>
    <cellStyle name="Normal 118 3" xfId="1177"/>
    <cellStyle name="Normal 118 4" xfId="1178"/>
    <cellStyle name="Normal 118 5" xfId="1179"/>
    <cellStyle name="Normal 119" xfId="1180"/>
    <cellStyle name="Normal 119 2" xfId="1181"/>
    <cellStyle name="Normal 119 3" xfId="1182"/>
    <cellStyle name="Normal 119 4" xfId="1183"/>
    <cellStyle name="Normal 119 5" xfId="1184"/>
    <cellStyle name="Normal 12" xfId="355"/>
    <cellStyle name="Normal 12 2" xfId="356"/>
    <cellStyle name="Normal 12 2 2" xfId="1185"/>
    <cellStyle name="Normal 12 2 3" xfId="1186"/>
    <cellStyle name="Normal 12 2 4" xfId="1187"/>
    <cellStyle name="Normal 12 2 5" xfId="1188"/>
    <cellStyle name="Normal 12 3" xfId="357"/>
    <cellStyle name="Normal 12 3 2" xfId="1189"/>
    <cellStyle name="Normal 12 3 3" xfId="1190"/>
    <cellStyle name="Normal 12 3 4" xfId="1191"/>
    <cellStyle name="Normal 12 3 5" xfId="1192"/>
    <cellStyle name="Normal 12 4" xfId="358"/>
    <cellStyle name="Normal 12 4 2" xfId="1193"/>
    <cellStyle name="Normal 12 4 3" xfId="1194"/>
    <cellStyle name="Normal 12 4 4" xfId="1195"/>
    <cellStyle name="Normal 12 4 5" xfId="1196"/>
    <cellStyle name="Normal 12 5" xfId="1197"/>
    <cellStyle name="Normal 12 6" xfId="1198"/>
    <cellStyle name="Normal 12 7" xfId="1199"/>
    <cellStyle name="Normal 12 8" xfId="1200"/>
    <cellStyle name="Normal 120" xfId="1201"/>
    <cellStyle name="Normal 120 2" xfId="1202"/>
    <cellStyle name="Normal 120 3" xfId="1203"/>
    <cellStyle name="Normal 120 4" xfId="1204"/>
    <cellStyle name="Normal 120 5" xfId="1205"/>
    <cellStyle name="Normal 121" xfId="1206"/>
    <cellStyle name="Normal 121 2" xfId="1207"/>
    <cellStyle name="Normal 121 3" xfId="1208"/>
    <cellStyle name="Normal 121 4" xfId="1209"/>
    <cellStyle name="Normal 121 5" xfId="1210"/>
    <cellStyle name="Normal 122" xfId="1211"/>
    <cellStyle name="Normal 122 2" xfId="1212"/>
    <cellStyle name="Normal 122 3" xfId="1213"/>
    <cellStyle name="Normal 122 4" xfId="1214"/>
    <cellStyle name="Normal 122 5" xfId="1215"/>
    <cellStyle name="Normal 123" xfId="1216"/>
    <cellStyle name="Normal 123 2" xfId="1217"/>
    <cellStyle name="Normal 123 3" xfId="1218"/>
    <cellStyle name="Normal 123 4" xfId="1219"/>
    <cellStyle name="Normal 123 5" xfId="1220"/>
    <cellStyle name="Normal 124" xfId="1221"/>
    <cellStyle name="Normal 124 2" xfId="1222"/>
    <cellStyle name="Normal 124 3" xfId="1223"/>
    <cellStyle name="Normal 124 4" xfId="1224"/>
    <cellStyle name="Normal 124 5" xfId="1225"/>
    <cellStyle name="Normal 125" xfId="1226"/>
    <cellStyle name="Normal 125 2" xfId="1227"/>
    <cellStyle name="Normal 125 3" xfId="1228"/>
    <cellStyle name="Normal 125 4" xfId="1229"/>
    <cellStyle name="Normal 125 5" xfId="1230"/>
    <cellStyle name="Normal 126" xfId="2613"/>
    <cellStyle name="Normal 127" xfId="1231"/>
    <cellStyle name="Normal 127 2" xfId="1232"/>
    <cellStyle name="Normal 127 3" xfId="1233"/>
    <cellStyle name="Normal 127 4" xfId="1234"/>
    <cellStyle name="Normal 127 5" xfId="1235"/>
    <cellStyle name="Normal 128" xfId="1236"/>
    <cellStyle name="Normal 128 2" xfId="1237"/>
    <cellStyle name="Normal 128 3" xfId="1238"/>
    <cellStyle name="Normal 128 4" xfId="1239"/>
    <cellStyle name="Normal 128 5" xfId="1240"/>
    <cellStyle name="Normal 129" xfId="1241"/>
    <cellStyle name="Normal 129 2" xfId="1242"/>
    <cellStyle name="Normal 129 3" xfId="1243"/>
    <cellStyle name="Normal 129 4" xfId="1244"/>
    <cellStyle name="Normal 129 5" xfId="1245"/>
    <cellStyle name="Normal 13" xfId="359"/>
    <cellStyle name="Normal 13 2" xfId="360"/>
    <cellStyle name="Normal 13 2 2" xfId="1246"/>
    <cellStyle name="Normal 13 2 3" xfId="1247"/>
    <cellStyle name="Normal 13 2 4" xfId="1248"/>
    <cellStyle name="Normal 13 2 5" xfId="1249"/>
    <cellStyle name="Normal 13 3" xfId="361"/>
    <cellStyle name="Normal 13 3 2" xfId="1250"/>
    <cellStyle name="Normal 13 3 3" xfId="1251"/>
    <cellStyle name="Normal 13 3 4" xfId="1252"/>
    <cellStyle name="Normal 13 3 5" xfId="1253"/>
    <cellStyle name="Normal 13 4" xfId="362"/>
    <cellStyle name="Normal 13 4 2" xfId="1254"/>
    <cellStyle name="Normal 13 4 3" xfId="1255"/>
    <cellStyle name="Normal 13 4 4" xfId="1256"/>
    <cellStyle name="Normal 13 4 5" xfId="1257"/>
    <cellStyle name="Normal 13 5" xfId="1258"/>
    <cellStyle name="Normal 13 6" xfId="1259"/>
    <cellStyle name="Normal 13 7" xfId="1260"/>
    <cellStyle name="Normal 13 8" xfId="1261"/>
    <cellStyle name="Normal 130" xfId="1262"/>
    <cellStyle name="Normal 130 2" xfId="1263"/>
    <cellStyle name="Normal 130 3" xfId="1264"/>
    <cellStyle name="Normal 130 4" xfId="1265"/>
    <cellStyle name="Normal 130 5" xfId="1266"/>
    <cellStyle name="Normal 131" xfId="1267"/>
    <cellStyle name="Normal 131 2" xfId="1268"/>
    <cellStyle name="Normal 131 3" xfId="1269"/>
    <cellStyle name="Normal 131 4" xfId="1270"/>
    <cellStyle name="Normal 131 5" xfId="1271"/>
    <cellStyle name="Normal 132" xfId="1272"/>
    <cellStyle name="Normal 132 2" xfId="1273"/>
    <cellStyle name="Normal 132 3" xfId="1274"/>
    <cellStyle name="Normal 132 4" xfId="1275"/>
    <cellStyle name="Normal 132 5" xfId="1276"/>
    <cellStyle name="Normal 133" xfId="1277"/>
    <cellStyle name="Normal 133 2" xfId="1278"/>
    <cellStyle name="Normal 133 3" xfId="1279"/>
    <cellStyle name="Normal 133 4" xfId="1280"/>
    <cellStyle name="Normal 133 5" xfId="1281"/>
    <cellStyle name="Normal 134" xfId="1282"/>
    <cellStyle name="Normal 134 2" xfId="1283"/>
    <cellStyle name="Normal 134 3" xfId="1284"/>
    <cellStyle name="Normal 134 4" xfId="1285"/>
    <cellStyle name="Normal 134 5" xfId="1286"/>
    <cellStyle name="Normal 135" xfId="1287"/>
    <cellStyle name="Normal 135 2" xfId="1288"/>
    <cellStyle name="Normal 135 3" xfId="1289"/>
    <cellStyle name="Normal 135 4" xfId="1290"/>
    <cellStyle name="Normal 135 5" xfId="1291"/>
    <cellStyle name="Normal 136" xfId="1292"/>
    <cellStyle name="Normal 136 2" xfId="1293"/>
    <cellStyle name="Normal 136 3" xfId="1294"/>
    <cellStyle name="Normal 136 4" xfId="1295"/>
    <cellStyle name="Normal 136 5" xfId="1296"/>
    <cellStyle name="Normal 137" xfId="1297"/>
    <cellStyle name="Normal 137 2" xfId="1298"/>
    <cellStyle name="Normal 137 3" xfId="1299"/>
    <cellStyle name="Normal 137 4" xfId="1300"/>
    <cellStyle name="Normal 137 5" xfId="1301"/>
    <cellStyle name="Normal 138" xfId="1302"/>
    <cellStyle name="Normal 138 2" xfId="1303"/>
    <cellStyle name="Normal 138 3" xfId="1304"/>
    <cellStyle name="Normal 138 4" xfId="1305"/>
    <cellStyle name="Normal 138 5" xfId="1306"/>
    <cellStyle name="Normal 139" xfId="1307"/>
    <cellStyle name="Normal 139 2" xfId="1308"/>
    <cellStyle name="Normal 139 3" xfId="1309"/>
    <cellStyle name="Normal 139 4" xfId="1310"/>
    <cellStyle name="Normal 139 5" xfId="1311"/>
    <cellStyle name="Normal 14" xfId="363"/>
    <cellStyle name="Normal 14 2" xfId="364"/>
    <cellStyle name="Normal 14 2 2" xfId="1312"/>
    <cellStyle name="Normal 14 2 3" xfId="1313"/>
    <cellStyle name="Normal 14 2 4" xfId="1314"/>
    <cellStyle name="Normal 14 2 5" xfId="1315"/>
    <cellStyle name="Normal 14 3" xfId="365"/>
    <cellStyle name="Normal 14 3 2" xfId="1316"/>
    <cellStyle name="Normal 14 3 3" xfId="1317"/>
    <cellStyle name="Normal 14 3 4" xfId="1318"/>
    <cellStyle name="Normal 14 3 5" xfId="1319"/>
    <cellStyle name="Normal 14 4" xfId="366"/>
    <cellStyle name="Normal 14 4 2" xfId="1320"/>
    <cellStyle name="Normal 14 4 3" xfId="1321"/>
    <cellStyle name="Normal 14 4 4" xfId="1322"/>
    <cellStyle name="Normal 14 4 5" xfId="1323"/>
    <cellStyle name="Normal 14 5" xfId="1324"/>
    <cellStyle name="Normal 14 6" xfId="1325"/>
    <cellStyle name="Normal 14 7" xfId="1326"/>
    <cellStyle name="Normal 14 8" xfId="1327"/>
    <cellStyle name="Normal 140" xfId="1328"/>
    <cellStyle name="Normal 140 2" xfId="1329"/>
    <cellStyle name="Normal 140 3" xfId="1330"/>
    <cellStyle name="Normal 140 4" xfId="1331"/>
    <cellStyle name="Normal 140 5" xfId="1332"/>
    <cellStyle name="Normal 141" xfId="1333"/>
    <cellStyle name="Normal 141 2" xfId="1334"/>
    <cellStyle name="Normal 141 3" xfId="1335"/>
    <cellStyle name="Normal 141 4" xfId="1336"/>
    <cellStyle name="Normal 141 5" xfId="1337"/>
    <cellStyle name="Normal 142" xfId="1338"/>
    <cellStyle name="Normal 142 2" xfId="1339"/>
    <cellStyle name="Normal 142 3" xfId="1340"/>
    <cellStyle name="Normal 142 4" xfId="1341"/>
    <cellStyle name="Normal 142 5" xfId="1342"/>
    <cellStyle name="Normal 143" xfId="1343"/>
    <cellStyle name="Normal 143 2" xfId="1344"/>
    <cellStyle name="Normal 143 3" xfId="1345"/>
    <cellStyle name="Normal 143 4" xfId="1346"/>
    <cellStyle name="Normal 143 5" xfId="1347"/>
    <cellStyle name="Normal 144" xfId="1348"/>
    <cellStyle name="Normal 144 2" xfId="1349"/>
    <cellStyle name="Normal 144 3" xfId="1350"/>
    <cellStyle name="Normal 144 4" xfId="1351"/>
    <cellStyle name="Normal 144 5" xfId="1352"/>
    <cellStyle name="Normal 145" xfId="1353"/>
    <cellStyle name="Normal 145 2" xfId="1354"/>
    <cellStyle name="Normal 145 3" xfId="1355"/>
    <cellStyle name="Normal 145 4" xfId="1356"/>
    <cellStyle name="Normal 145 5" xfId="1357"/>
    <cellStyle name="Normal 146" xfId="1358"/>
    <cellStyle name="Normal 146 2" xfId="1359"/>
    <cellStyle name="Normal 146 3" xfId="1360"/>
    <cellStyle name="Normal 146 4" xfId="1361"/>
    <cellStyle name="Normal 146 5" xfId="1362"/>
    <cellStyle name="Normal 147" xfId="1363"/>
    <cellStyle name="Normal 147 2" xfId="1364"/>
    <cellStyle name="Normal 147 3" xfId="1365"/>
    <cellStyle name="Normal 147 4" xfId="1366"/>
    <cellStyle name="Normal 147 5" xfId="1367"/>
    <cellStyle name="Normal 148" xfId="1368"/>
    <cellStyle name="Normal 148 2" xfId="1369"/>
    <cellStyle name="Normal 148 3" xfId="1370"/>
    <cellStyle name="Normal 148 4" xfId="1371"/>
    <cellStyle name="Normal 148 5" xfId="1372"/>
    <cellStyle name="Normal 149" xfId="1373"/>
    <cellStyle name="Normal 149 2" xfId="1374"/>
    <cellStyle name="Normal 149 3" xfId="1375"/>
    <cellStyle name="Normal 149 4" xfId="1376"/>
    <cellStyle name="Normal 149 5" xfId="1377"/>
    <cellStyle name="Normal 15" xfId="367"/>
    <cellStyle name="Normal 15 2" xfId="368"/>
    <cellStyle name="Normal 15 2 2" xfId="1378"/>
    <cellStyle name="Normal 15 2 3" xfId="1379"/>
    <cellStyle name="Normal 15 2 4" xfId="1380"/>
    <cellStyle name="Normal 15 2 5" xfId="1381"/>
    <cellStyle name="Normal 15 3" xfId="369"/>
    <cellStyle name="Normal 15 3 2" xfId="1382"/>
    <cellStyle name="Normal 15 3 3" xfId="1383"/>
    <cellStyle name="Normal 15 3 4" xfId="1384"/>
    <cellStyle name="Normal 15 3 5" xfId="1385"/>
    <cellStyle name="Normal 15 4" xfId="370"/>
    <cellStyle name="Normal 15 4 2" xfId="1386"/>
    <cellStyle name="Normal 15 4 3" xfId="1387"/>
    <cellStyle name="Normal 15 4 4" xfId="1388"/>
    <cellStyle name="Normal 15 4 5" xfId="1389"/>
    <cellStyle name="Normal 15 5" xfId="1390"/>
    <cellStyle name="Normal 15 6" xfId="1391"/>
    <cellStyle name="Normal 15 7" xfId="1392"/>
    <cellStyle name="Normal 15 8" xfId="1393"/>
    <cellStyle name="Normal 150" xfId="1394"/>
    <cellStyle name="Normal 150 2" xfId="1395"/>
    <cellStyle name="Normal 150 3" xfId="1396"/>
    <cellStyle name="Normal 150 4" xfId="1397"/>
    <cellStyle name="Normal 150 5" xfId="1398"/>
    <cellStyle name="Normal 151" xfId="1399"/>
    <cellStyle name="Normal 151 2" xfId="1400"/>
    <cellStyle name="Normal 151 3" xfId="1401"/>
    <cellStyle name="Normal 151 4" xfId="1402"/>
    <cellStyle name="Normal 151 5" xfId="1403"/>
    <cellStyle name="Normal 152" xfId="1404"/>
    <cellStyle name="Normal 152 2" xfId="1405"/>
    <cellStyle name="Normal 152 3" xfId="1406"/>
    <cellStyle name="Normal 152 4" xfId="1407"/>
    <cellStyle name="Normal 152 5" xfId="1408"/>
    <cellStyle name="Normal 153" xfId="1409"/>
    <cellStyle name="Normal 153 2" xfId="1410"/>
    <cellStyle name="Normal 153 3" xfId="1411"/>
    <cellStyle name="Normal 153 4" xfId="1412"/>
    <cellStyle name="Normal 153 5" xfId="1413"/>
    <cellStyle name="Normal 154" xfId="1414"/>
    <cellStyle name="Normal 154 2" xfId="1415"/>
    <cellStyle name="Normal 154 3" xfId="1416"/>
    <cellStyle name="Normal 154 4" xfId="1417"/>
    <cellStyle name="Normal 154 5" xfId="1418"/>
    <cellStyle name="Normal 155" xfId="1419"/>
    <cellStyle name="Normal 155 2" xfId="1420"/>
    <cellStyle name="Normal 155 3" xfId="1421"/>
    <cellStyle name="Normal 155 4" xfId="1422"/>
    <cellStyle name="Normal 155 5" xfId="1423"/>
    <cellStyle name="Normal 156" xfId="1424"/>
    <cellStyle name="Normal 156 2" xfId="1425"/>
    <cellStyle name="Normal 156 3" xfId="1426"/>
    <cellStyle name="Normal 156 4" xfId="1427"/>
    <cellStyle name="Normal 156 5" xfId="1428"/>
    <cellStyle name="Normal 157" xfId="1429"/>
    <cellStyle name="Normal 157 2" xfId="1430"/>
    <cellStyle name="Normal 157 3" xfId="1431"/>
    <cellStyle name="Normal 157 4" xfId="1432"/>
    <cellStyle name="Normal 157 5" xfId="1433"/>
    <cellStyle name="Normal 158" xfId="1434"/>
    <cellStyle name="Normal 158 2" xfId="1435"/>
    <cellStyle name="Normal 158 3" xfId="1436"/>
    <cellStyle name="Normal 158 4" xfId="1437"/>
    <cellStyle name="Normal 158 5" xfId="1438"/>
    <cellStyle name="Normal 159" xfId="1439"/>
    <cellStyle name="Normal 159 2" xfId="1440"/>
    <cellStyle name="Normal 159 3" xfId="1441"/>
    <cellStyle name="Normal 159 4" xfId="1442"/>
    <cellStyle name="Normal 159 5" xfId="1443"/>
    <cellStyle name="Normal 16" xfId="371"/>
    <cellStyle name="Normal 16 2" xfId="372"/>
    <cellStyle name="Normal 16 2 2" xfId="1444"/>
    <cellStyle name="Normal 16 2 3" xfId="1445"/>
    <cellStyle name="Normal 16 2 4" xfId="1446"/>
    <cellStyle name="Normal 16 2 5" xfId="1447"/>
    <cellStyle name="Normal 16 3" xfId="373"/>
    <cellStyle name="Normal 16 3 2" xfId="1448"/>
    <cellStyle name="Normal 16 3 3" xfId="1449"/>
    <cellStyle name="Normal 16 3 4" xfId="1450"/>
    <cellStyle name="Normal 16 3 5" xfId="1451"/>
    <cellStyle name="Normal 16 4" xfId="374"/>
    <cellStyle name="Normal 16 4 2" xfId="1452"/>
    <cellStyle name="Normal 16 4 3" xfId="1453"/>
    <cellStyle name="Normal 16 4 4" xfId="1454"/>
    <cellStyle name="Normal 16 4 5" xfId="1455"/>
    <cellStyle name="Normal 16 5" xfId="1456"/>
    <cellStyle name="Normal 16 6" xfId="1457"/>
    <cellStyle name="Normal 16 7" xfId="1458"/>
    <cellStyle name="Normal 16 8" xfId="1459"/>
    <cellStyle name="Normal 160" xfId="1460"/>
    <cellStyle name="Normal 160 2" xfId="1461"/>
    <cellStyle name="Normal 160 3" xfId="1462"/>
    <cellStyle name="Normal 160 4" xfId="1463"/>
    <cellStyle name="Normal 160 5" xfId="1464"/>
    <cellStyle name="Normal 161" xfId="1465"/>
    <cellStyle name="Normal 161 2" xfId="1466"/>
    <cellStyle name="Normal 161 3" xfId="1467"/>
    <cellStyle name="Normal 161 4" xfId="1468"/>
    <cellStyle name="Normal 161 5" xfId="1469"/>
    <cellStyle name="Normal 162" xfId="1470"/>
    <cellStyle name="Normal 162 2" xfId="1471"/>
    <cellStyle name="Normal 162 3" xfId="1472"/>
    <cellStyle name="Normal 162 4" xfId="1473"/>
    <cellStyle name="Normal 162 5" xfId="1474"/>
    <cellStyle name="Normal 163" xfId="1475"/>
    <cellStyle name="Normal 163 2" xfId="1476"/>
    <cellStyle name="Normal 163 3" xfId="1477"/>
    <cellStyle name="Normal 163 4" xfId="1478"/>
    <cellStyle name="Normal 163 5" xfId="1479"/>
    <cellStyle name="Normal 164" xfId="1480"/>
    <cellStyle name="Normal 164 2" xfId="1481"/>
    <cellStyle name="Normal 164 3" xfId="1482"/>
    <cellStyle name="Normal 164 4" xfId="1483"/>
    <cellStyle name="Normal 164 5" xfId="1484"/>
    <cellStyle name="Normal 165" xfId="1485"/>
    <cellStyle name="Normal 165 2" xfId="1486"/>
    <cellStyle name="Normal 165 3" xfId="1487"/>
    <cellStyle name="Normal 165 4" xfId="1488"/>
    <cellStyle name="Normal 165 5" xfId="1489"/>
    <cellStyle name="Normal 166" xfId="1490"/>
    <cellStyle name="Normal 166 2" xfId="1491"/>
    <cellStyle name="Normal 166 3" xfId="1492"/>
    <cellStyle name="Normal 166 4" xfId="1493"/>
    <cellStyle name="Normal 166 5" xfId="1494"/>
    <cellStyle name="Normal 167" xfId="1495"/>
    <cellStyle name="Normal 167 2" xfId="1496"/>
    <cellStyle name="Normal 167 3" xfId="1497"/>
    <cellStyle name="Normal 167 4" xfId="1498"/>
    <cellStyle name="Normal 167 5" xfId="1499"/>
    <cellStyle name="Normal 168" xfId="1500"/>
    <cellStyle name="Normal 168 2" xfId="1501"/>
    <cellStyle name="Normal 168 3" xfId="1502"/>
    <cellStyle name="Normal 168 4" xfId="1503"/>
    <cellStyle name="Normal 168 5" xfId="1504"/>
    <cellStyle name="Normal 169" xfId="1505"/>
    <cellStyle name="Normal 169 2" xfId="1506"/>
    <cellStyle name="Normal 169 3" xfId="1507"/>
    <cellStyle name="Normal 169 4" xfId="1508"/>
    <cellStyle name="Normal 169 5" xfId="1509"/>
    <cellStyle name="Normal 17" xfId="375"/>
    <cellStyle name="Normal 17 2" xfId="376"/>
    <cellStyle name="Normal 17 2 2" xfId="1510"/>
    <cellStyle name="Normal 17 2 3" xfId="1511"/>
    <cellStyle name="Normal 17 2 4" xfId="1512"/>
    <cellStyle name="Normal 17 2 5" xfId="1513"/>
    <cellStyle name="Normal 17 3" xfId="1514"/>
    <cellStyle name="Normal 17 4" xfId="1515"/>
    <cellStyle name="Normal 17 5" xfId="1516"/>
    <cellStyle name="Normal 17 6" xfId="1517"/>
    <cellStyle name="Normal 170" xfId="1518"/>
    <cellStyle name="Normal 170 2" xfId="1519"/>
    <cellStyle name="Normal 170 3" xfId="1520"/>
    <cellStyle name="Normal 170 4" xfId="1521"/>
    <cellStyle name="Normal 170 5" xfId="1522"/>
    <cellStyle name="Normal 171" xfId="1523"/>
    <cellStyle name="Normal 171 2" xfId="1524"/>
    <cellStyle name="Normal 171 3" xfId="1525"/>
    <cellStyle name="Normal 171 4" xfId="1526"/>
    <cellStyle name="Normal 171 5" xfId="1527"/>
    <cellStyle name="Normal 172" xfId="1528"/>
    <cellStyle name="Normal 172 2" xfId="1529"/>
    <cellStyle name="Normal 172 3" xfId="1530"/>
    <cellStyle name="Normal 172 4" xfId="1531"/>
    <cellStyle name="Normal 172 5" xfId="1532"/>
    <cellStyle name="Normal 173" xfId="1533"/>
    <cellStyle name="Normal 173 2" xfId="1534"/>
    <cellStyle name="Normal 173 3" xfId="1535"/>
    <cellStyle name="Normal 173 4" xfId="1536"/>
    <cellStyle name="Normal 173 5" xfId="1537"/>
    <cellStyle name="Normal 174" xfId="1538"/>
    <cellStyle name="Normal 174 2" xfId="1539"/>
    <cellStyle name="Normal 174 3" xfId="1540"/>
    <cellStyle name="Normal 174 4" xfId="1541"/>
    <cellStyle name="Normal 174 5" xfId="1542"/>
    <cellStyle name="Normal 175" xfId="1543"/>
    <cellStyle name="Normal 175 2" xfId="1544"/>
    <cellStyle name="Normal 175 3" xfId="1545"/>
    <cellStyle name="Normal 175 4" xfId="1546"/>
    <cellStyle name="Normal 175 5" xfId="1547"/>
    <cellStyle name="Normal 176" xfId="1548"/>
    <cellStyle name="Normal 176 2" xfId="1549"/>
    <cellStyle name="Normal 176 3" xfId="1550"/>
    <cellStyle name="Normal 176 4" xfId="1551"/>
    <cellStyle name="Normal 176 5" xfId="1552"/>
    <cellStyle name="Normal 177" xfId="1553"/>
    <cellStyle name="Normal 177 2" xfId="1554"/>
    <cellStyle name="Normal 177 3" xfId="1555"/>
    <cellStyle name="Normal 177 4" xfId="1556"/>
    <cellStyle name="Normal 177 5" xfId="1557"/>
    <cellStyle name="Normal 178" xfId="1558"/>
    <cellStyle name="Normal 178 2" xfId="1559"/>
    <cellStyle name="Normal 178 3" xfId="1560"/>
    <cellStyle name="Normal 178 4" xfId="1561"/>
    <cellStyle name="Normal 178 5" xfId="1562"/>
    <cellStyle name="Normal 179" xfId="1563"/>
    <cellStyle name="Normal 179 2" xfId="1564"/>
    <cellStyle name="Normal 179 3" xfId="1565"/>
    <cellStyle name="Normal 179 4" xfId="1566"/>
    <cellStyle name="Normal 179 5" xfId="1567"/>
    <cellStyle name="Normal 18" xfId="377"/>
    <cellStyle name="Normal 180" xfId="1568"/>
    <cellStyle name="Normal 180 2" xfId="1569"/>
    <cellStyle name="Normal 180 3" xfId="1570"/>
    <cellStyle name="Normal 180 4" xfId="1571"/>
    <cellStyle name="Normal 180 5" xfId="1572"/>
    <cellStyle name="Normal 182" xfId="1573"/>
    <cellStyle name="Normal 182 2" xfId="1574"/>
    <cellStyle name="Normal 182 3" xfId="1575"/>
    <cellStyle name="Normal 182 4" xfId="1576"/>
    <cellStyle name="Normal 182 5" xfId="1577"/>
    <cellStyle name="Normal 183" xfId="1578"/>
    <cellStyle name="Normal 183 2" xfId="1579"/>
    <cellStyle name="Normal 183 3" xfId="1580"/>
    <cellStyle name="Normal 183 4" xfId="1581"/>
    <cellStyle name="Normal 183 5" xfId="1582"/>
    <cellStyle name="Normal 184" xfId="1583"/>
    <cellStyle name="Normal 184 2" xfId="1584"/>
    <cellStyle name="Normal 184 3" xfId="1585"/>
    <cellStyle name="Normal 184 4" xfId="1586"/>
    <cellStyle name="Normal 184 5" xfId="1587"/>
    <cellStyle name="Normal 185" xfId="1588"/>
    <cellStyle name="Normal 185 2" xfId="1589"/>
    <cellStyle name="Normal 185 3" xfId="1590"/>
    <cellStyle name="Normal 185 4" xfId="1591"/>
    <cellStyle name="Normal 185 5" xfId="1592"/>
    <cellStyle name="Normal 186" xfId="1593"/>
    <cellStyle name="Normal 186 2" xfId="1594"/>
    <cellStyle name="Normal 186 3" xfId="1595"/>
    <cellStyle name="Normal 186 4" xfId="1596"/>
    <cellStyle name="Normal 186 5" xfId="1597"/>
    <cellStyle name="Normal 187" xfId="1598"/>
    <cellStyle name="Normal 187 2" xfId="1599"/>
    <cellStyle name="Normal 187 3" xfId="1600"/>
    <cellStyle name="Normal 187 4" xfId="1601"/>
    <cellStyle name="Normal 187 5" xfId="1602"/>
    <cellStyle name="Normal 188" xfId="1603"/>
    <cellStyle name="Normal 188 2" xfId="1604"/>
    <cellStyle name="Normal 188 3" xfId="1605"/>
    <cellStyle name="Normal 188 4" xfId="1606"/>
    <cellStyle name="Normal 188 5" xfId="1607"/>
    <cellStyle name="Normal 189" xfId="1608"/>
    <cellStyle name="Normal 189 2" xfId="1609"/>
    <cellStyle name="Normal 189 3" xfId="1610"/>
    <cellStyle name="Normal 189 4" xfId="1611"/>
    <cellStyle name="Normal 189 5" xfId="1612"/>
    <cellStyle name="Normal 19" xfId="378"/>
    <cellStyle name="Normal 19 2" xfId="1613"/>
    <cellStyle name="Normal 19 3" xfId="1614"/>
    <cellStyle name="Normal 19 4" xfId="1615"/>
    <cellStyle name="Normal 19 5" xfId="1616"/>
    <cellStyle name="Normal 190" xfId="1617"/>
    <cellStyle name="Normal 190 2" xfId="1618"/>
    <cellStyle name="Normal 190 3" xfId="1619"/>
    <cellStyle name="Normal 190 4" xfId="1620"/>
    <cellStyle name="Normal 190 5" xfId="1621"/>
    <cellStyle name="Normal 191" xfId="1622"/>
    <cellStyle name="Normal 191 2" xfId="1623"/>
    <cellStyle name="Normal 191 3" xfId="1624"/>
    <cellStyle name="Normal 191 4" xfId="1625"/>
    <cellStyle name="Normal 191 5" xfId="1626"/>
    <cellStyle name="Normal 192" xfId="1627"/>
    <cellStyle name="Normal 192 2" xfId="1628"/>
    <cellStyle name="Normal 192 3" xfId="1629"/>
    <cellStyle name="Normal 192 4" xfId="1630"/>
    <cellStyle name="Normal 192 5" xfId="1631"/>
    <cellStyle name="Normal 193" xfId="1632"/>
    <cellStyle name="Normal 193 2" xfId="1633"/>
    <cellStyle name="Normal 193 3" xfId="1634"/>
    <cellStyle name="Normal 193 4" xfId="1635"/>
    <cellStyle name="Normal 193 5" xfId="1636"/>
    <cellStyle name="Normal 194" xfId="1637"/>
    <cellStyle name="Normal 194 2" xfId="1638"/>
    <cellStyle name="Normal 194 3" xfId="1639"/>
    <cellStyle name="Normal 194 4" xfId="1640"/>
    <cellStyle name="Normal 194 5" xfId="1641"/>
    <cellStyle name="Normal 195" xfId="1642"/>
    <cellStyle name="Normal 195 2" xfId="1643"/>
    <cellStyle name="Normal 195 3" xfId="1644"/>
    <cellStyle name="Normal 195 4" xfId="1645"/>
    <cellStyle name="Normal 195 5" xfId="1646"/>
    <cellStyle name="Normal 196" xfId="1647"/>
    <cellStyle name="Normal 196 2" xfId="1648"/>
    <cellStyle name="Normal 196 3" xfId="1649"/>
    <cellStyle name="Normal 196 4" xfId="1650"/>
    <cellStyle name="Normal 196 5" xfId="1651"/>
    <cellStyle name="Normal 198" xfId="1652"/>
    <cellStyle name="Normal 198 2" xfId="1653"/>
    <cellStyle name="Normal 198 3" xfId="1654"/>
    <cellStyle name="Normal 198 4" xfId="1655"/>
    <cellStyle name="Normal 198 5" xfId="1656"/>
    <cellStyle name="Normal 199" xfId="1657"/>
    <cellStyle name="Normal 199 2" xfId="1658"/>
    <cellStyle name="Normal 199 3" xfId="1659"/>
    <cellStyle name="Normal 199 4" xfId="1660"/>
    <cellStyle name="Normal 199 5" xfId="1661"/>
    <cellStyle name="Normal 2" xfId="2"/>
    <cellStyle name="Normal 2 10" xfId="379"/>
    <cellStyle name="Normal 2 10 10" xfId="380"/>
    <cellStyle name="Normal 2 10 11" xfId="381"/>
    <cellStyle name="Normal 2 10 12" xfId="382"/>
    <cellStyle name="Normal 2 10 13" xfId="383"/>
    <cellStyle name="Normal 2 10 14" xfId="384"/>
    <cellStyle name="Normal 2 10 15" xfId="1662"/>
    <cellStyle name="Normal 2 10 16" xfId="1663"/>
    <cellStyle name="Normal 2 10 17" xfId="1664"/>
    <cellStyle name="Normal 2 10 18" xfId="1665"/>
    <cellStyle name="Normal 2 10 2" xfId="385"/>
    <cellStyle name="Normal 2 10 3" xfId="386"/>
    <cellStyle name="Normal 2 10 4" xfId="387"/>
    <cellStyle name="Normal 2 10 5" xfId="388"/>
    <cellStyle name="Normal 2 10 6" xfId="389"/>
    <cellStyle name="Normal 2 10 7" xfId="390"/>
    <cellStyle name="Normal 2 10 8" xfId="391"/>
    <cellStyle name="Normal 2 10 9" xfId="392"/>
    <cellStyle name="Normal 2 11" xfId="393"/>
    <cellStyle name="Normal 2 11 10" xfId="394"/>
    <cellStyle name="Normal 2 11 11" xfId="395"/>
    <cellStyle name="Normal 2 11 12" xfId="396"/>
    <cellStyle name="Normal 2 11 13" xfId="397"/>
    <cellStyle name="Normal 2 11 14" xfId="398"/>
    <cellStyle name="Normal 2 11 15" xfId="1666"/>
    <cellStyle name="Normal 2 11 16" xfId="1667"/>
    <cellStyle name="Normal 2 11 17" xfId="1668"/>
    <cellStyle name="Normal 2 11 18" xfId="1669"/>
    <cellStyle name="Normal 2 11 2" xfId="399"/>
    <cellStyle name="Normal 2 11 3" xfId="400"/>
    <cellStyle name="Normal 2 11 4" xfId="401"/>
    <cellStyle name="Normal 2 11 5" xfId="402"/>
    <cellStyle name="Normal 2 11 6" xfId="403"/>
    <cellStyle name="Normal 2 11 7" xfId="404"/>
    <cellStyle name="Normal 2 11 8" xfId="405"/>
    <cellStyle name="Normal 2 11 9" xfId="406"/>
    <cellStyle name="Normal 2 12" xfId="407"/>
    <cellStyle name="Normal 2 12 2" xfId="1670"/>
    <cellStyle name="Normal 2 12 3" xfId="1671"/>
    <cellStyle name="Normal 2 12 4" xfId="1672"/>
    <cellStyle name="Normal 2 12 5" xfId="1673"/>
    <cellStyle name="Normal 2 13" xfId="408"/>
    <cellStyle name="Normal 2 13 2" xfId="409"/>
    <cellStyle name="Normal 2 13 2 2" xfId="1674"/>
    <cellStyle name="Normal 2 13 2 3" xfId="1675"/>
    <cellStyle name="Normal 2 13 2 4" xfId="1676"/>
    <cellStyle name="Normal 2 13 2 5" xfId="1677"/>
    <cellStyle name="Normal 2 14" xfId="410"/>
    <cellStyle name="Normal 2 14 2" xfId="1678"/>
    <cellStyle name="Normal 2 14 3" xfId="1679"/>
    <cellStyle name="Normal 2 14 4" xfId="1680"/>
    <cellStyle name="Normal 2 14 5" xfId="1681"/>
    <cellStyle name="Normal 2 15" xfId="411"/>
    <cellStyle name="Normal 2 15 2" xfId="1682"/>
    <cellStyle name="Normal 2 15 3" xfId="1683"/>
    <cellStyle name="Normal 2 15 4" xfId="1684"/>
    <cellStyle name="Normal 2 15 5" xfId="1685"/>
    <cellStyle name="Normal 2 16" xfId="412"/>
    <cellStyle name="Normal 2 16 2" xfId="1686"/>
    <cellStyle name="Normal 2 16 3" xfId="1687"/>
    <cellStyle name="Normal 2 16 4" xfId="1688"/>
    <cellStyle name="Normal 2 16 5" xfId="1689"/>
    <cellStyle name="Normal 2 17" xfId="413"/>
    <cellStyle name="Normal 2 17 2" xfId="1690"/>
    <cellStyle name="Normal 2 17 3" xfId="1691"/>
    <cellStyle name="Normal 2 17 4" xfId="1692"/>
    <cellStyle name="Normal 2 17 5" xfId="1693"/>
    <cellStyle name="Normal 2 18" xfId="10"/>
    <cellStyle name="Normal 2 19" xfId="2614"/>
    <cellStyle name="Normal 2 19 2" xfId="2615"/>
    <cellStyle name="Normal 2 2" xfId="414"/>
    <cellStyle name="Normal 2 2 10" xfId="1694"/>
    <cellStyle name="Normal 2 2 2" xfId="415"/>
    <cellStyle name="Normal 2 2 2 10" xfId="416"/>
    <cellStyle name="Normal 2 2 2 11" xfId="417"/>
    <cellStyle name="Normal 2 2 2 12" xfId="418"/>
    <cellStyle name="Normal 2 2 2 13" xfId="419"/>
    <cellStyle name="Normal 2 2 2 14" xfId="420"/>
    <cellStyle name="Normal 2 2 2 15" xfId="421"/>
    <cellStyle name="Normal 2 2 2 15 2" xfId="1695"/>
    <cellStyle name="Normal 2 2 2 15 3" xfId="1696"/>
    <cellStyle name="Normal 2 2 2 15 4" xfId="1697"/>
    <cellStyle name="Normal 2 2 2 15 5" xfId="1698"/>
    <cellStyle name="Normal 2 2 2 2" xfId="422"/>
    <cellStyle name="Normal 2 2 2 3" xfId="423"/>
    <cellStyle name="Normal 2 2 2 4" xfId="424"/>
    <cellStyle name="Normal 2 2 2 5" xfId="425"/>
    <cellStyle name="Normal 2 2 2 6" xfId="426"/>
    <cellStyle name="Normal 2 2 2 7" xfId="427"/>
    <cellStyle name="Normal 2 2 2 8" xfId="428"/>
    <cellStyle name="Normal 2 2 2 9" xfId="429"/>
    <cellStyle name="Normal 2 2 3" xfId="430"/>
    <cellStyle name="Normal 2 2 3 10" xfId="431"/>
    <cellStyle name="Normal 2 2 3 11" xfId="432"/>
    <cellStyle name="Normal 2 2 3 12" xfId="433"/>
    <cellStyle name="Normal 2 2 3 13" xfId="434"/>
    <cellStyle name="Normal 2 2 3 14" xfId="435"/>
    <cellStyle name="Normal 2 2 3 2" xfId="436"/>
    <cellStyle name="Normal 2 2 3 3" xfId="437"/>
    <cellStyle name="Normal 2 2 3 4" xfId="438"/>
    <cellStyle name="Normal 2 2 3 5" xfId="439"/>
    <cellStyle name="Normal 2 2 3 6" xfId="440"/>
    <cellStyle name="Normal 2 2 3 7" xfId="441"/>
    <cellStyle name="Normal 2 2 3 8" xfId="442"/>
    <cellStyle name="Normal 2 2 3 9" xfId="443"/>
    <cellStyle name="Normal 2 2 4" xfId="444"/>
    <cellStyle name="Normal 2 2 4 10" xfId="445"/>
    <cellStyle name="Normal 2 2 4 11" xfId="446"/>
    <cellStyle name="Normal 2 2 4 12" xfId="447"/>
    <cellStyle name="Normal 2 2 4 13" xfId="448"/>
    <cellStyle name="Normal 2 2 4 14" xfId="449"/>
    <cellStyle name="Normal 2 2 4 2" xfId="450"/>
    <cellStyle name="Normal 2 2 4 3" xfId="451"/>
    <cellStyle name="Normal 2 2 4 4" xfId="452"/>
    <cellStyle name="Normal 2 2 4 5" xfId="453"/>
    <cellStyle name="Normal 2 2 4 6" xfId="454"/>
    <cellStyle name="Normal 2 2 4 7" xfId="455"/>
    <cellStyle name="Normal 2 2 4 8" xfId="456"/>
    <cellStyle name="Normal 2 2 4 9" xfId="457"/>
    <cellStyle name="Normal 2 2 5" xfId="458"/>
    <cellStyle name="Normal 2 2 5 10" xfId="459"/>
    <cellStyle name="Normal 2 2 5 11" xfId="460"/>
    <cellStyle name="Normal 2 2 5 12" xfId="461"/>
    <cellStyle name="Normal 2 2 5 13" xfId="462"/>
    <cellStyle name="Normal 2 2 5 14" xfId="463"/>
    <cellStyle name="Normal 2 2 5 2" xfId="464"/>
    <cellStyle name="Normal 2 2 5 3" xfId="465"/>
    <cellStyle name="Normal 2 2 5 4" xfId="466"/>
    <cellStyle name="Normal 2 2 5 5" xfId="467"/>
    <cellStyle name="Normal 2 2 5 6" xfId="468"/>
    <cellStyle name="Normal 2 2 5 7" xfId="469"/>
    <cellStyle name="Normal 2 2 5 8" xfId="470"/>
    <cellStyle name="Normal 2 2 5 9" xfId="471"/>
    <cellStyle name="Normal 2 2 6" xfId="472"/>
    <cellStyle name="Normal 2 2 6 10" xfId="473"/>
    <cellStyle name="Normal 2 2 6 11" xfId="474"/>
    <cellStyle name="Normal 2 2 6 12" xfId="475"/>
    <cellStyle name="Normal 2 2 6 13" xfId="476"/>
    <cellStyle name="Normal 2 2 6 14" xfId="477"/>
    <cellStyle name="Normal 2 2 6 2" xfId="478"/>
    <cellStyle name="Normal 2 2 6 3" xfId="479"/>
    <cellStyle name="Normal 2 2 6 4" xfId="480"/>
    <cellStyle name="Normal 2 2 6 5" xfId="481"/>
    <cellStyle name="Normal 2 2 6 6" xfId="482"/>
    <cellStyle name="Normal 2 2 6 7" xfId="483"/>
    <cellStyle name="Normal 2 2 6 8" xfId="484"/>
    <cellStyle name="Normal 2 2 6 9" xfId="485"/>
    <cellStyle name="Normal 2 2 7" xfId="1699"/>
    <cellStyle name="Normal 2 2 8" xfId="1700"/>
    <cellStyle name="Normal 2 2 9" xfId="1701"/>
    <cellStyle name="Normal 2 3" xfId="486"/>
    <cellStyle name="Normal 2 3 10" xfId="487"/>
    <cellStyle name="Normal 2 3 11" xfId="488"/>
    <cellStyle name="Normal 2 3 11 2" xfId="489"/>
    <cellStyle name="Normal 2 3 12" xfId="490"/>
    <cellStyle name="Normal 2 3 13" xfId="491"/>
    <cellStyle name="Normal 2 3 14" xfId="492"/>
    <cellStyle name="Normal 2 3 2" xfId="493"/>
    <cellStyle name="Normal 2 3 2 2" xfId="1702"/>
    <cellStyle name="Normal 2 3 2 3" xfId="1703"/>
    <cellStyle name="Normal 2 3 2 4" xfId="1704"/>
    <cellStyle name="Normal 2 3 2 5" xfId="1705"/>
    <cellStyle name="Normal 2 3 3" xfId="494"/>
    <cellStyle name="Normal 2 3 4" xfId="495"/>
    <cellStyle name="Normal 2 3 5" xfId="496"/>
    <cellStyle name="Normal 2 3 6" xfId="497"/>
    <cellStyle name="Normal 2 3 7" xfId="498"/>
    <cellStyle name="Normal 2 3 8" xfId="499"/>
    <cellStyle name="Normal 2 3 9" xfId="500"/>
    <cellStyle name="Normal 2 4" xfId="501"/>
    <cellStyle name="Normal 2 4 2" xfId="1706"/>
    <cellStyle name="Normal 2 4 3" xfId="1707"/>
    <cellStyle name="Normal 2 4 4" xfId="1708"/>
    <cellStyle name="Normal 2 4 5" xfId="1709"/>
    <cellStyle name="Normal 2 5" xfId="502"/>
    <cellStyle name="Normal 2 5 10" xfId="503"/>
    <cellStyle name="Normal 2 5 11" xfId="504"/>
    <cellStyle name="Normal 2 5 12" xfId="505"/>
    <cellStyle name="Normal 2 5 13" xfId="506"/>
    <cellStyle name="Normal 2 5 14" xfId="507"/>
    <cellStyle name="Normal 2 5 15" xfId="1710"/>
    <cellStyle name="Normal 2 5 16" xfId="1711"/>
    <cellStyle name="Normal 2 5 17" xfId="1712"/>
    <cellStyle name="Normal 2 5 18" xfId="1713"/>
    <cellStyle name="Normal 2 5 2" xfId="508"/>
    <cellStyle name="Normal 2 5 3" xfId="509"/>
    <cellStyle name="Normal 2 5 4" xfId="510"/>
    <cellStyle name="Normal 2 5 5" xfId="511"/>
    <cellStyle name="Normal 2 5 6" xfId="512"/>
    <cellStyle name="Normal 2 5 7" xfId="513"/>
    <cellStyle name="Normal 2 5 8" xfId="514"/>
    <cellStyle name="Normal 2 5 9" xfId="515"/>
    <cellStyle name="Normal 2 6" xfId="516"/>
    <cellStyle name="Normal 2 6 2" xfId="1714"/>
    <cellStyle name="Normal 2 6 3" xfId="1715"/>
    <cellStyle name="Normal 2 6 4" xfId="1716"/>
    <cellStyle name="Normal 2 6 5" xfId="1717"/>
    <cellStyle name="Normal 2 7" xfId="517"/>
    <cellStyle name="Normal 2 7 2" xfId="1718"/>
    <cellStyle name="Normal 2 7 3" xfId="1719"/>
    <cellStyle name="Normal 2 7 4" xfId="1720"/>
    <cellStyle name="Normal 2 7 5" xfId="1721"/>
    <cellStyle name="Normal 2 8" xfId="518"/>
    <cellStyle name="Normal 2 8 2" xfId="1722"/>
    <cellStyle name="Normal 2 8 3" xfId="1723"/>
    <cellStyle name="Normal 2 8 4" xfId="1724"/>
    <cellStyle name="Normal 2 8 5" xfId="1725"/>
    <cellStyle name="Normal 2 9" xfId="519"/>
    <cellStyle name="Normal 2 9 10" xfId="520"/>
    <cellStyle name="Normal 2 9 11" xfId="521"/>
    <cellStyle name="Normal 2 9 12" xfId="522"/>
    <cellStyle name="Normal 2 9 13" xfId="523"/>
    <cellStyle name="Normal 2 9 14" xfId="524"/>
    <cellStyle name="Normal 2 9 15" xfId="1726"/>
    <cellStyle name="Normal 2 9 16" xfId="1727"/>
    <cellStyle name="Normal 2 9 17" xfId="1728"/>
    <cellStyle name="Normal 2 9 18" xfId="1729"/>
    <cellStyle name="Normal 2 9 2" xfId="525"/>
    <cellStyle name="Normal 2 9 3" xfId="526"/>
    <cellStyle name="Normal 2 9 4" xfId="527"/>
    <cellStyle name="Normal 2 9 5" xfId="528"/>
    <cellStyle name="Normal 2 9 6" xfId="529"/>
    <cellStyle name="Normal 2 9 7" xfId="530"/>
    <cellStyle name="Normal 2 9 8" xfId="531"/>
    <cellStyle name="Normal 2 9 9" xfId="532"/>
    <cellStyle name="Normal 2_Format-sample" xfId="533"/>
    <cellStyle name="Normal 20" xfId="534"/>
    <cellStyle name="Normal 20 2" xfId="1730"/>
    <cellStyle name="Normal 20 3" xfId="1731"/>
    <cellStyle name="Normal 20 4" xfId="1732"/>
    <cellStyle name="Normal 20 5" xfId="1733"/>
    <cellStyle name="Normal 200" xfId="1734"/>
    <cellStyle name="Normal 200 2" xfId="1735"/>
    <cellStyle name="Normal 200 3" xfId="1736"/>
    <cellStyle name="Normal 200 4" xfId="1737"/>
    <cellStyle name="Normal 200 5" xfId="1738"/>
    <cellStyle name="Normal 201" xfId="1739"/>
    <cellStyle name="Normal 201 2" xfId="1740"/>
    <cellStyle name="Normal 201 3" xfId="1741"/>
    <cellStyle name="Normal 201 4" xfId="1742"/>
    <cellStyle name="Normal 201 5" xfId="1743"/>
    <cellStyle name="Normal 202" xfId="1744"/>
    <cellStyle name="Normal 202 2" xfId="1745"/>
    <cellStyle name="Normal 202 3" xfId="1746"/>
    <cellStyle name="Normal 202 4" xfId="1747"/>
    <cellStyle name="Normal 202 5" xfId="1748"/>
    <cellStyle name="Normal 203" xfId="1749"/>
    <cellStyle name="Normal 203 2" xfId="1750"/>
    <cellStyle name="Normal 203 3" xfId="1751"/>
    <cellStyle name="Normal 203 4" xfId="1752"/>
    <cellStyle name="Normal 203 5" xfId="1753"/>
    <cellStyle name="Normal 204" xfId="1754"/>
    <cellStyle name="Normal 204 2" xfId="1755"/>
    <cellStyle name="Normal 204 3" xfId="1756"/>
    <cellStyle name="Normal 204 4" xfId="1757"/>
    <cellStyle name="Normal 204 5" xfId="1758"/>
    <cellStyle name="Normal 205" xfId="1759"/>
    <cellStyle name="Normal 205 2" xfId="1760"/>
    <cellStyle name="Normal 205 3" xfId="1761"/>
    <cellStyle name="Normal 205 4" xfId="1762"/>
    <cellStyle name="Normal 205 5" xfId="1763"/>
    <cellStyle name="Normal 206" xfId="1764"/>
    <cellStyle name="Normal 206 2" xfId="1765"/>
    <cellStyle name="Normal 206 3" xfId="1766"/>
    <cellStyle name="Normal 206 4" xfId="1767"/>
    <cellStyle name="Normal 206 5" xfId="1768"/>
    <cellStyle name="Normal 207" xfId="1769"/>
    <cellStyle name="Normal 207 2" xfId="1770"/>
    <cellStyle name="Normal 207 3" xfId="1771"/>
    <cellStyle name="Normal 207 4" xfId="1772"/>
    <cellStyle name="Normal 207 5" xfId="1773"/>
    <cellStyle name="Normal 208" xfId="1774"/>
    <cellStyle name="Normal 208 2" xfId="1775"/>
    <cellStyle name="Normal 208 3" xfId="1776"/>
    <cellStyle name="Normal 208 4" xfId="1777"/>
    <cellStyle name="Normal 208 5" xfId="1778"/>
    <cellStyle name="Normal 209" xfId="1779"/>
    <cellStyle name="Normal 209 2" xfId="1780"/>
    <cellStyle name="Normal 209 3" xfId="1781"/>
    <cellStyle name="Normal 209 4" xfId="1782"/>
    <cellStyle name="Normal 209 5" xfId="1783"/>
    <cellStyle name="Normal 21" xfId="535"/>
    <cellStyle name="Normal 21 2" xfId="1784"/>
    <cellStyle name="Normal 21 3" xfId="1785"/>
    <cellStyle name="Normal 21 4" xfId="1786"/>
    <cellStyle name="Normal 21 5" xfId="1787"/>
    <cellStyle name="Normal 210" xfId="1788"/>
    <cellStyle name="Normal 210 2" xfId="1789"/>
    <cellStyle name="Normal 210 3" xfId="1790"/>
    <cellStyle name="Normal 210 4" xfId="1791"/>
    <cellStyle name="Normal 210 5" xfId="1792"/>
    <cellStyle name="Normal 211" xfId="1793"/>
    <cellStyle name="Normal 211 2" xfId="1794"/>
    <cellStyle name="Normal 211 3" xfId="1795"/>
    <cellStyle name="Normal 211 4" xfId="1796"/>
    <cellStyle name="Normal 211 5" xfId="1797"/>
    <cellStyle name="Normal 212" xfId="1798"/>
    <cellStyle name="Normal 212 2" xfId="1799"/>
    <cellStyle name="Normal 212 3" xfId="1800"/>
    <cellStyle name="Normal 212 4" xfId="1801"/>
    <cellStyle name="Normal 212 5" xfId="1802"/>
    <cellStyle name="Normal 213" xfId="1803"/>
    <cellStyle name="Normal 213 2" xfId="1804"/>
    <cellStyle name="Normal 213 3" xfId="1805"/>
    <cellStyle name="Normal 213 4" xfId="1806"/>
    <cellStyle name="Normal 213 5" xfId="1807"/>
    <cellStyle name="Normal 214" xfId="1808"/>
    <cellStyle name="Normal 214 2" xfId="1809"/>
    <cellStyle name="Normal 214 3" xfId="1810"/>
    <cellStyle name="Normal 214 4" xfId="1811"/>
    <cellStyle name="Normal 214 5" xfId="1812"/>
    <cellStyle name="Normal 215" xfId="1813"/>
    <cellStyle name="Normal 215 2" xfId="1814"/>
    <cellStyle name="Normal 215 3" xfId="1815"/>
    <cellStyle name="Normal 215 4" xfId="1816"/>
    <cellStyle name="Normal 215 5" xfId="1817"/>
    <cellStyle name="Normal 216" xfId="1818"/>
    <cellStyle name="Normal 216 2" xfId="1819"/>
    <cellStyle name="Normal 216 3" xfId="1820"/>
    <cellStyle name="Normal 216 4" xfId="1821"/>
    <cellStyle name="Normal 216 5" xfId="1822"/>
    <cellStyle name="Normal 217" xfId="1823"/>
    <cellStyle name="Normal 217 2" xfId="1824"/>
    <cellStyle name="Normal 217 3" xfId="1825"/>
    <cellStyle name="Normal 217 4" xfId="1826"/>
    <cellStyle name="Normal 217 5" xfId="1827"/>
    <cellStyle name="Normal 218" xfId="1828"/>
    <cellStyle name="Normal 218 2" xfId="1829"/>
    <cellStyle name="Normal 218 3" xfId="1830"/>
    <cellStyle name="Normal 218 4" xfId="1831"/>
    <cellStyle name="Normal 218 5" xfId="1832"/>
    <cellStyle name="Normal 219" xfId="1833"/>
    <cellStyle name="Normal 219 2" xfId="1834"/>
    <cellStyle name="Normal 219 3" xfId="1835"/>
    <cellStyle name="Normal 219 4" xfId="1836"/>
    <cellStyle name="Normal 219 5" xfId="1837"/>
    <cellStyle name="Normal 22" xfId="536"/>
    <cellStyle name="Normal 22 2" xfId="1838"/>
    <cellStyle name="Normal 22 3" xfId="1839"/>
    <cellStyle name="Normal 22 4" xfId="1840"/>
    <cellStyle name="Normal 22 5" xfId="1841"/>
    <cellStyle name="Normal 220" xfId="1842"/>
    <cellStyle name="Normal 220 2" xfId="1843"/>
    <cellStyle name="Normal 220 3" xfId="1844"/>
    <cellStyle name="Normal 220 4" xfId="1845"/>
    <cellStyle name="Normal 220 5" xfId="1846"/>
    <cellStyle name="Normal 221" xfId="1847"/>
    <cellStyle name="Normal 221 2" xfId="1848"/>
    <cellStyle name="Normal 221 3" xfId="1849"/>
    <cellStyle name="Normal 221 4" xfId="1850"/>
    <cellStyle name="Normal 221 5" xfId="1851"/>
    <cellStyle name="Normal 222" xfId="1852"/>
    <cellStyle name="Normal 222 2" xfId="1853"/>
    <cellStyle name="Normal 222 3" xfId="1854"/>
    <cellStyle name="Normal 222 4" xfId="1855"/>
    <cellStyle name="Normal 222 5" xfId="1856"/>
    <cellStyle name="Normal 223" xfId="1857"/>
    <cellStyle name="Normal 223 2" xfId="1858"/>
    <cellStyle name="Normal 223 3" xfId="1859"/>
    <cellStyle name="Normal 223 4" xfId="1860"/>
    <cellStyle name="Normal 223 5" xfId="1861"/>
    <cellStyle name="Normal 224" xfId="1862"/>
    <cellStyle name="Normal 224 2" xfId="1863"/>
    <cellStyle name="Normal 224 3" xfId="1864"/>
    <cellStyle name="Normal 224 4" xfId="1865"/>
    <cellStyle name="Normal 224 5" xfId="1866"/>
    <cellStyle name="Normal 225" xfId="1867"/>
    <cellStyle name="Normal 225 2" xfId="1868"/>
    <cellStyle name="Normal 225 3" xfId="1869"/>
    <cellStyle name="Normal 225 4" xfId="1870"/>
    <cellStyle name="Normal 225 5" xfId="1871"/>
    <cellStyle name="Normal 226" xfId="1872"/>
    <cellStyle name="Normal 226 2" xfId="1873"/>
    <cellStyle name="Normal 226 3" xfId="1874"/>
    <cellStyle name="Normal 226 4" xfId="1875"/>
    <cellStyle name="Normal 226 5" xfId="1876"/>
    <cellStyle name="Normal 227" xfId="1877"/>
    <cellStyle name="Normal 227 2" xfId="1878"/>
    <cellStyle name="Normal 227 3" xfId="1879"/>
    <cellStyle name="Normal 227 4" xfId="1880"/>
    <cellStyle name="Normal 227 5" xfId="1881"/>
    <cellStyle name="Normal 228" xfId="1882"/>
    <cellStyle name="Normal 228 2" xfId="1883"/>
    <cellStyle name="Normal 228 3" xfId="1884"/>
    <cellStyle name="Normal 228 4" xfId="1885"/>
    <cellStyle name="Normal 228 5" xfId="1886"/>
    <cellStyle name="Normal 229" xfId="1887"/>
    <cellStyle name="Normal 229 2" xfId="1888"/>
    <cellStyle name="Normal 229 3" xfId="1889"/>
    <cellStyle name="Normal 229 4" xfId="1890"/>
    <cellStyle name="Normal 229 5" xfId="1891"/>
    <cellStyle name="Normal 23" xfId="537"/>
    <cellStyle name="Normal 23 2" xfId="1892"/>
    <cellStyle name="Normal 23 3" xfId="1893"/>
    <cellStyle name="Normal 23 4" xfId="1894"/>
    <cellStyle name="Normal 23 5" xfId="1895"/>
    <cellStyle name="Normal 230" xfId="1896"/>
    <cellStyle name="Normal 230 2" xfId="1897"/>
    <cellStyle name="Normal 230 3" xfId="1898"/>
    <cellStyle name="Normal 230 4" xfId="1899"/>
    <cellStyle name="Normal 230 5" xfId="1900"/>
    <cellStyle name="Normal 231" xfId="1901"/>
    <cellStyle name="Normal 231 2" xfId="1902"/>
    <cellStyle name="Normal 231 3" xfId="1903"/>
    <cellStyle name="Normal 231 4" xfId="1904"/>
    <cellStyle name="Normal 231 5" xfId="1905"/>
    <cellStyle name="Normal 232" xfId="1906"/>
    <cellStyle name="Normal 232 2" xfId="1907"/>
    <cellStyle name="Normal 232 3" xfId="1908"/>
    <cellStyle name="Normal 232 4" xfId="1909"/>
    <cellStyle name="Normal 232 5" xfId="1910"/>
    <cellStyle name="Normal 233" xfId="1911"/>
    <cellStyle name="Normal 233 2" xfId="1912"/>
    <cellStyle name="Normal 233 3" xfId="1913"/>
    <cellStyle name="Normal 233 4" xfId="1914"/>
    <cellStyle name="Normal 233 5" xfId="1915"/>
    <cellStyle name="Normal 234" xfId="1916"/>
    <cellStyle name="Normal 234 2" xfId="1917"/>
    <cellStyle name="Normal 234 3" xfId="1918"/>
    <cellStyle name="Normal 234 4" xfId="1919"/>
    <cellStyle name="Normal 234 5" xfId="1920"/>
    <cellStyle name="Normal 235" xfId="1921"/>
    <cellStyle name="Normal 235 2" xfId="1922"/>
    <cellStyle name="Normal 235 3" xfId="1923"/>
    <cellStyle name="Normal 235 4" xfId="1924"/>
    <cellStyle name="Normal 235 5" xfId="1925"/>
    <cellStyle name="Normal 236" xfId="1926"/>
    <cellStyle name="Normal 236 2" xfId="1927"/>
    <cellStyle name="Normal 236 3" xfId="1928"/>
    <cellStyle name="Normal 236 4" xfId="1929"/>
    <cellStyle name="Normal 236 5" xfId="1930"/>
    <cellStyle name="Normal 237" xfId="1931"/>
    <cellStyle name="Normal 237 2" xfId="1932"/>
    <cellStyle name="Normal 237 3" xfId="1933"/>
    <cellStyle name="Normal 237 4" xfId="1934"/>
    <cellStyle name="Normal 237 5" xfId="1935"/>
    <cellStyle name="Normal 238" xfId="1936"/>
    <cellStyle name="Normal 238 2" xfId="1937"/>
    <cellStyle name="Normal 238 3" xfId="1938"/>
    <cellStyle name="Normal 238 4" xfId="1939"/>
    <cellStyle name="Normal 238 5" xfId="1940"/>
    <cellStyle name="Normal 239" xfId="1941"/>
    <cellStyle name="Normal 239 2" xfId="1942"/>
    <cellStyle name="Normal 239 3" xfId="1943"/>
    <cellStyle name="Normal 239 4" xfId="1944"/>
    <cellStyle name="Normal 239 5" xfId="1945"/>
    <cellStyle name="Normal 24" xfId="538"/>
    <cellStyle name="Normal 24 2" xfId="1946"/>
    <cellStyle name="Normal 24 3" xfId="1947"/>
    <cellStyle name="Normal 24 4" xfId="1948"/>
    <cellStyle name="Normal 24 5" xfId="1949"/>
    <cellStyle name="Normal 240" xfId="1950"/>
    <cellStyle name="Normal 240 2" xfId="1951"/>
    <cellStyle name="Normal 240 3" xfId="1952"/>
    <cellStyle name="Normal 240 4" xfId="1953"/>
    <cellStyle name="Normal 240 5" xfId="1954"/>
    <cellStyle name="Normal 243" xfId="1955"/>
    <cellStyle name="Normal 243 2" xfId="1956"/>
    <cellStyle name="Normal 243 3" xfId="1957"/>
    <cellStyle name="Normal 243 4" xfId="1958"/>
    <cellStyle name="Normal 243 5" xfId="1959"/>
    <cellStyle name="Normal 244" xfId="1960"/>
    <cellStyle name="Normal 244 2" xfId="1961"/>
    <cellStyle name="Normal 244 3" xfId="1962"/>
    <cellStyle name="Normal 244 4" xfId="1963"/>
    <cellStyle name="Normal 244 5" xfId="1964"/>
    <cellStyle name="Normal 245" xfId="1965"/>
    <cellStyle name="Normal 245 2" xfId="1966"/>
    <cellStyle name="Normal 245 3" xfId="1967"/>
    <cellStyle name="Normal 245 4" xfId="1968"/>
    <cellStyle name="Normal 245 5" xfId="1969"/>
    <cellStyle name="Normal 25" xfId="539"/>
    <cellStyle name="Normal 25 2" xfId="1970"/>
    <cellStyle name="Normal 25 3" xfId="1971"/>
    <cellStyle name="Normal 25 4" xfId="1972"/>
    <cellStyle name="Normal 25 5" xfId="1973"/>
    <cellStyle name="Normal 26" xfId="540"/>
    <cellStyle name="Normal 27" xfId="541"/>
    <cellStyle name="Normal 27 2" xfId="1974"/>
    <cellStyle name="Normal 27 3" xfId="1975"/>
    <cellStyle name="Normal 27 4" xfId="1976"/>
    <cellStyle name="Normal 27 5" xfId="1977"/>
    <cellStyle name="Normal 28" xfId="542"/>
    <cellStyle name="Normal 28 2" xfId="1978"/>
    <cellStyle name="Normal 28 3" xfId="1979"/>
    <cellStyle name="Normal 28 4" xfId="1980"/>
    <cellStyle name="Normal 28 5" xfId="1981"/>
    <cellStyle name="Normal 29" xfId="543"/>
    <cellStyle name="Normal 29 2" xfId="1982"/>
    <cellStyle name="Normal 29 3" xfId="1983"/>
    <cellStyle name="Normal 29 4" xfId="1984"/>
    <cellStyle name="Normal 29 5" xfId="1985"/>
    <cellStyle name="Normal 3" xfId="13"/>
    <cellStyle name="Normal 3 2" xfId="544"/>
    <cellStyle name="Normal 3 2 2" xfId="545"/>
    <cellStyle name="Normal 3 3" xfId="546"/>
    <cellStyle name="Normal 3 4" xfId="547"/>
    <cellStyle name="Normal 3_Format-sample" xfId="548"/>
    <cellStyle name="Normal 30" xfId="549"/>
    <cellStyle name="Normal 30 2" xfId="1986"/>
    <cellStyle name="Normal 30 3" xfId="1987"/>
    <cellStyle name="Normal 30 4" xfId="1988"/>
    <cellStyle name="Normal 30 5" xfId="1989"/>
    <cellStyle name="Normal 31" xfId="550"/>
    <cellStyle name="Normal 31 2" xfId="1990"/>
    <cellStyle name="Normal 31 3" xfId="1991"/>
    <cellStyle name="Normal 31 4" xfId="1992"/>
    <cellStyle name="Normal 31 5" xfId="1993"/>
    <cellStyle name="Normal 32" xfId="551"/>
    <cellStyle name="Normal 32 2" xfId="1994"/>
    <cellStyle name="Normal 32 3" xfId="1995"/>
    <cellStyle name="Normal 32 4" xfId="1996"/>
    <cellStyle name="Normal 32 5" xfId="1997"/>
    <cellStyle name="Normal 33" xfId="552"/>
    <cellStyle name="Normal 33 2" xfId="1998"/>
    <cellStyle name="Normal 33 3" xfId="1999"/>
    <cellStyle name="Normal 33 4" xfId="2000"/>
    <cellStyle name="Normal 33 5" xfId="2001"/>
    <cellStyle name="Normal 34" xfId="553"/>
    <cellStyle name="Normal 34 2" xfId="2002"/>
    <cellStyle name="Normal 34 3" xfId="2003"/>
    <cellStyle name="Normal 34 4" xfId="2004"/>
    <cellStyle name="Normal 34 5" xfId="2005"/>
    <cellStyle name="Normal 35" xfId="554"/>
    <cellStyle name="Normal 35 2" xfId="2006"/>
    <cellStyle name="Normal 35 3" xfId="2007"/>
    <cellStyle name="Normal 35 4" xfId="2008"/>
    <cellStyle name="Normal 35 5" xfId="2009"/>
    <cellStyle name="Normal 36" xfId="555"/>
    <cellStyle name="Normal 36 2" xfId="2010"/>
    <cellStyle name="Normal 36 3" xfId="2011"/>
    <cellStyle name="Normal 36 4" xfId="2012"/>
    <cellStyle name="Normal 36 5" xfId="2013"/>
    <cellStyle name="Normal 37" xfId="556"/>
    <cellStyle name="Normal 37 2" xfId="2014"/>
    <cellStyle name="Normal 37 3" xfId="2015"/>
    <cellStyle name="Normal 37 4" xfId="2016"/>
    <cellStyle name="Normal 37 5" xfId="2017"/>
    <cellStyle name="Normal 38" xfId="557"/>
    <cellStyle name="Normal 38 2" xfId="2018"/>
    <cellStyle name="Normal 38 3" xfId="2019"/>
    <cellStyle name="Normal 38 4" xfId="2020"/>
    <cellStyle name="Normal 38 5" xfId="2021"/>
    <cellStyle name="Normal 39" xfId="558"/>
    <cellStyle name="Normal 39 2" xfId="2022"/>
    <cellStyle name="Normal 39 3" xfId="2023"/>
    <cellStyle name="Normal 39 4" xfId="2024"/>
    <cellStyle name="Normal 39 5" xfId="2025"/>
    <cellStyle name="Normal 4" xfId="11"/>
    <cellStyle name="Normal 4 10" xfId="2026"/>
    <cellStyle name="Normal 4 11" xfId="2027"/>
    <cellStyle name="Normal 4 2" xfId="559"/>
    <cellStyle name="Normal 4 2 2" xfId="560"/>
    <cellStyle name="Normal 4 2 3" xfId="2028"/>
    <cellStyle name="Normal 4 2 4" xfId="2029"/>
    <cellStyle name="Normal 4 2 5" xfId="2030"/>
    <cellStyle name="Normal 4 2 6" xfId="2031"/>
    <cellStyle name="Normal 4 3" xfId="561"/>
    <cellStyle name="Normal 4 3 2" xfId="2032"/>
    <cellStyle name="Normal 4 3 3" xfId="2033"/>
    <cellStyle name="Normal 4 3 4" xfId="2034"/>
    <cellStyle name="Normal 4 3 5" xfId="2035"/>
    <cellStyle name="Normal 4 4" xfId="562"/>
    <cellStyle name="Normal 4 4 2" xfId="2036"/>
    <cellStyle name="Normal 4 4 3" xfId="2037"/>
    <cellStyle name="Normal 4 4 4" xfId="2038"/>
    <cellStyle name="Normal 4 4 5" xfId="2039"/>
    <cellStyle name="Normal 4 5" xfId="563"/>
    <cellStyle name="Normal 4 6" xfId="564"/>
    <cellStyle name="Normal 4 6 2" xfId="2040"/>
    <cellStyle name="Normal 4 6 3" xfId="2041"/>
    <cellStyle name="Normal 4 6 4" xfId="2042"/>
    <cellStyle name="Normal 4 6 5" xfId="2043"/>
    <cellStyle name="Normal 4 7" xfId="565"/>
    <cellStyle name="Normal 4 8" xfId="2044"/>
    <cellStyle name="Normal 4 9" xfId="2045"/>
    <cellStyle name="Normal 4_2011年11月 2012年3月　BSxls" xfId="566"/>
    <cellStyle name="Normal 40" xfId="567"/>
    <cellStyle name="Normal 40 2" xfId="2046"/>
    <cellStyle name="Normal 40 3" xfId="2047"/>
    <cellStyle name="Normal 40 4" xfId="2048"/>
    <cellStyle name="Normal 40 5" xfId="2049"/>
    <cellStyle name="Normal 41" xfId="568"/>
    <cellStyle name="Normal 41 2" xfId="2050"/>
    <cellStyle name="Normal 41 3" xfId="2051"/>
    <cellStyle name="Normal 41 4" xfId="2052"/>
    <cellStyle name="Normal 41 5" xfId="2053"/>
    <cellStyle name="Normal 42" xfId="569"/>
    <cellStyle name="Normal 42 2" xfId="2054"/>
    <cellStyle name="Normal 42 3" xfId="2055"/>
    <cellStyle name="Normal 42 4" xfId="2056"/>
    <cellStyle name="Normal 42 5" xfId="2057"/>
    <cellStyle name="Normal 43" xfId="570"/>
    <cellStyle name="Normal 43 2" xfId="2058"/>
    <cellStyle name="Normal 43 3" xfId="2059"/>
    <cellStyle name="Normal 43 4" xfId="2060"/>
    <cellStyle name="Normal 43 5" xfId="2061"/>
    <cellStyle name="Normal 44" xfId="743"/>
    <cellStyle name="Normal 44 2" xfId="2062"/>
    <cellStyle name="Normal 44 3" xfId="2063"/>
    <cellStyle name="Normal 44 4" xfId="2064"/>
    <cellStyle name="Normal 44 5" xfId="2065"/>
    <cellStyle name="Normal 45" xfId="744"/>
    <cellStyle name="Normal 45 2" xfId="2066"/>
    <cellStyle name="Normal 45 2 2" xfId="751"/>
    <cellStyle name="Normal 45 3" xfId="2067"/>
    <cellStyle name="Normal 45 4" xfId="2068"/>
    <cellStyle name="Normal 45 5" xfId="2069"/>
    <cellStyle name="Normal 46" xfId="746"/>
    <cellStyle name="Normal 46 2" xfId="2070"/>
    <cellStyle name="Normal 46 3" xfId="2071"/>
    <cellStyle name="Normal 46 4" xfId="2072"/>
    <cellStyle name="Normal 46 5" xfId="2073"/>
    <cellStyle name="Normal 47" xfId="745"/>
    <cellStyle name="Normal 47 2" xfId="2074"/>
    <cellStyle name="Normal 47 3" xfId="2075"/>
    <cellStyle name="Normal 47 4" xfId="2076"/>
    <cellStyle name="Normal 47 5" xfId="2077"/>
    <cellStyle name="Normal 48" xfId="747"/>
    <cellStyle name="Normal 48 2" xfId="2078"/>
    <cellStyle name="Normal 48 3" xfId="2079"/>
    <cellStyle name="Normal 48 4" xfId="2080"/>
    <cellStyle name="Normal 48 5" xfId="2081"/>
    <cellStyle name="Normal 49" xfId="748"/>
    <cellStyle name="Normal 49 2" xfId="2082"/>
    <cellStyle name="Normal 49 3" xfId="2083"/>
    <cellStyle name="Normal 49 4" xfId="2084"/>
    <cellStyle name="Normal 49 5" xfId="2085"/>
    <cellStyle name="Normal 5" xfId="15"/>
    <cellStyle name="Normal 5 2" xfId="571"/>
    <cellStyle name="Normal 5 2 2" xfId="572"/>
    <cellStyle name="Normal 5 2 3" xfId="573"/>
    <cellStyle name="Normal 5 2 4" xfId="2086"/>
    <cellStyle name="Normal 5 2 5" xfId="2087"/>
    <cellStyle name="Normal 5 2 6" xfId="2088"/>
    <cellStyle name="Normal 5 2 7" xfId="2089"/>
    <cellStyle name="Normal 5 3" xfId="574"/>
    <cellStyle name="Normal 5 3 2" xfId="2090"/>
    <cellStyle name="Normal 5 3 3" xfId="2091"/>
    <cellStyle name="Normal 5 3 4" xfId="2092"/>
    <cellStyle name="Normal 5 3 5" xfId="2093"/>
    <cellStyle name="Normal 5 4" xfId="575"/>
    <cellStyle name="Normal 50" xfId="749"/>
    <cellStyle name="Normal 50 2" xfId="2094"/>
    <cellStyle name="Normal 50 3" xfId="2095"/>
    <cellStyle name="Normal 50 4" xfId="2096"/>
    <cellStyle name="Normal 50 5" xfId="2097"/>
    <cellStyle name="Normal 51" xfId="750"/>
    <cellStyle name="Normal 51 2" xfId="2098"/>
    <cellStyle name="Normal 51 3" xfId="2099"/>
    <cellStyle name="Normal 51 4" xfId="2100"/>
    <cellStyle name="Normal 51 5" xfId="2101"/>
    <cellStyle name="Normal 52" xfId="2102"/>
    <cellStyle name="Normal 52 2" xfId="2103"/>
    <cellStyle name="Normal 52 3" xfId="2104"/>
    <cellStyle name="Normal 52 4" xfId="2105"/>
    <cellStyle name="Normal 52 5" xfId="2106"/>
    <cellStyle name="Normal 53" xfId="2107"/>
    <cellStyle name="Normal 53 2" xfId="2108"/>
    <cellStyle name="Normal 53 3" xfId="2109"/>
    <cellStyle name="Normal 53 4" xfId="2110"/>
    <cellStyle name="Normal 53 5" xfId="2111"/>
    <cellStyle name="Normal 54" xfId="2112"/>
    <cellStyle name="Normal 54 2" xfId="2113"/>
    <cellStyle name="Normal 54 3" xfId="2114"/>
    <cellStyle name="Normal 54 4" xfId="2115"/>
    <cellStyle name="Normal 54 5" xfId="2116"/>
    <cellStyle name="Normal 55" xfId="2117"/>
    <cellStyle name="Normal 55 2" xfId="2118"/>
    <cellStyle name="Normal 55 3" xfId="2119"/>
    <cellStyle name="Normal 55 4" xfId="2120"/>
    <cellStyle name="Normal 55 5" xfId="2121"/>
    <cellStyle name="Normal 56" xfId="2122"/>
    <cellStyle name="Normal 56 2" xfId="2123"/>
    <cellStyle name="Normal 56 3" xfId="2124"/>
    <cellStyle name="Normal 56 4" xfId="2125"/>
    <cellStyle name="Normal 56 5" xfId="2126"/>
    <cellStyle name="Normal 57" xfId="2127"/>
    <cellStyle name="Normal 57 2" xfId="2128"/>
    <cellStyle name="Normal 57 3" xfId="2129"/>
    <cellStyle name="Normal 57 4" xfId="2130"/>
    <cellStyle name="Normal 57 5" xfId="2131"/>
    <cellStyle name="Normal 58" xfId="2132"/>
    <cellStyle name="Normal 58 2" xfId="2133"/>
    <cellStyle name="Normal 58 3" xfId="2134"/>
    <cellStyle name="Normal 58 4" xfId="2135"/>
    <cellStyle name="Normal 58 5" xfId="2136"/>
    <cellStyle name="Normal 59" xfId="2137"/>
    <cellStyle name="Normal 59 2" xfId="2138"/>
    <cellStyle name="Normal 59 3" xfId="2139"/>
    <cellStyle name="Normal 59 4" xfId="2140"/>
    <cellStyle name="Normal 59 5" xfId="2141"/>
    <cellStyle name="Normal 6" xfId="576"/>
    <cellStyle name="Normal 6 10" xfId="577"/>
    <cellStyle name="Normal 6 11" xfId="578"/>
    <cellStyle name="Normal 6 12" xfId="579"/>
    <cellStyle name="Normal 6 13" xfId="580"/>
    <cellStyle name="Normal 6 14" xfId="581"/>
    <cellStyle name="Normal 6 15" xfId="582"/>
    <cellStyle name="Normal 6 2" xfId="583"/>
    <cellStyle name="Normal 6 3" xfId="584"/>
    <cellStyle name="Normal 6 4" xfId="585"/>
    <cellStyle name="Normal 6 5" xfId="586"/>
    <cellStyle name="Normal 6 6" xfId="587"/>
    <cellStyle name="Normal 6 7" xfId="588"/>
    <cellStyle name="Normal 6 8" xfId="589"/>
    <cellStyle name="Normal 6 9" xfId="590"/>
    <cellStyle name="Normal 60" xfId="2142"/>
    <cellStyle name="Normal 60 2" xfId="2143"/>
    <cellStyle name="Normal 60 3" xfId="2144"/>
    <cellStyle name="Normal 60 4" xfId="2145"/>
    <cellStyle name="Normal 60 5" xfId="2146"/>
    <cellStyle name="Normal 61" xfId="2147"/>
    <cellStyle name="Normal 61 2" xfId="2148"/>
    <cellStyle name="Normal 61 3" xfId="2149"/>
    <cellStyle name="Normal 61 4" xfId="2150"/>
    <cellStyle name="Normal 61 5" xfId="2151"/>
    <cellStyle name="Normal 62" xfId="2152"/>
    <cellStyle name="Normal 62 2" xfId="2153"/>
    <cellStyle name="Normal 62 3" xfId="2154"/>
    <cellStyle name="Normal 62 4" xfId="2155"/>
    <cellStyle name="Normal 62 5" xfId="2156"/>
    <cellStyle name="Normal 63" xfId="2157"/>
    <cellStyle name="Normal 63 2" xfId="2158"/>
    <cellStyle name="Normal 63 3" xfId="2159"/>
    <cellStyle name="Normal 63 4" xfId="2160"/>
    <cellStyle name="Normal 63 5" xfId="2161"/>
    <cellStyle name="Normal 64" xfId="2162"/>
    <cellStyle name="Normal 64 2" xfId="2163"/>
    <cellStyle name="Normal 64 3" xfId="2164"/>
    <cellStyle name="Normal 64 4" xfId="2165"/>
    <cellStyle name="Normal 64 5" xfId="2166"/>
    <cellStyle name="Normal 65" xfId="2167"/>
    <cellStyle name="Normal 65 2" xfId="2168"/>
    <cellStyle name="Normal 65 3" xfId="2169"/>
    <cellStyle name="Normal 65 4" xfId="2170"/>
    <cellStyle name="Normal 65 5" xfId="2171"/>
    <cellStyle name="Normal 66" xfId="2172"/>
    <cellStyle name="Normal 66 2" xfId="2173"/>
    <cellStyle name="Normal 66 3" xfId="2174"/>
    <cellStyle name="Normal 66 4" xfId="2175"/>
    <cellStyle name="Normal 66 5" xfId="2176"/>
    <cellStyle name="Normal 67" xfId="2177"/>
    <cellStyle name="Normal 67 2" xfId="2178"/>
    <cellStyle name="Normal 67 3" xfId="2179"/>
    <cellStyle name="Normal 67 4" xfId="2180"/>
    <cellStyle name="Normal 67 5" xfId="2181"/>
    <cellStyle name="Normal 68" xfId="2182"/>
    <cellStyle name="Normal 68 2" xfId="2183"/>
    <cellStyle name="Normal 68 3" xfId="2184"/>
    <cellStyle name="Normal 68 4" xfId="2185"/>
    <cellStyle name="Normal 68 5" xfId="2186"/>
    <cellStyle name="Normal 68 6" xfId="2597"/>
    <cellStyle name="Normal 69" xfId="2187"/>
    <cellStyle name="Normal 69 2" xfId="2188"/>
    <cellStyle name="Normal 69 3" xfId="2189"/>
    <cellStyle name="Normal 69 4" xfId="2190"/>
    <cellStyle name="Normal 69 5" xfId="2191"/>
    <cellStyle name="Normal 7" xfId="591"/>
    <cellStyle name="Normal 7 10" xfId="592"/>
    <cellStyle name="Normal 7 11" xfId="593"/>
    <cellStyle name="Normal 7 12" xfId="594"/>
    <cellStyle name="Normal 7 12 2" xfId="2192"/>
    <cellStyle name="Normal 7 12 3" xfId="2193"/>
    <cellStyle name="Normal 7 12 4" xfId="2194"/>
    <cellStyle name="Normal 7 12 5" xfId="2195"/>
    <cellStyle name="Normal 7 13" xfId="595"/>
    <cellStyle name="Normal 7 14" xfId="596"/>
    <cellStyle name="Normal 7 15" xfId="597"/>
    <cellStyle name="Normal 7 15 2" xfId="2196"/>
    <cellStyle name="Normal 7 15 3" xfId="2197"/>
    <cellStyle name="Normal 7 15 4" xfId="2198"/>
    <cellStyle name="Normal 7 15 5" xfId="2199"/>
    <cellStyle name="Normal 7 16" xfId="2200"/>
    <cellStyle name="Normal 7 17" xfId="2201"/>
    <cellStyle name="Normal 7 18" xfId="2202"/>
    <cellStyle name="Normal 7 19" xfId="2203"/>
    <cellStyle name="Normal 7 2" xfId="598"/>
    <cellStyle name="Normal 7 2 2" xfId="599"/>
    <cellStyle name="Normal 7 2 2 2" xfId="2204"/>
    <cellStyle name="Normal 7 2 2 3" xfId="2205"/>
    <cellStyle name="Normal 7 2 2 4" xfId="2206"/>
    <cellStyle name="Normal 7 2 2 5" xfId="2207"/>
    <cellStyle name="Normal 7 3" xfId="600"/>
    <cellStyle name="Normal 7 3 2" xfId="601"/>
    <cellStyle name="Normal 7 3 2 2" xfId="2208"/>
    <cellStyle name="Normal 7 3 2 3" xfId="2209"/>
    <cellStyle name="Normal 7 3 2 4" xfId="2210"/>
    <cellStyle name="Normal 7 3 2 5" xfId="2211"/>
    <cellStyle name="Normal 7 4" xfId="602"/>
    <cellStyle name="Normal 7 5" xfId="603"/>
    <cellStyle name="Normal 7 6" xfId="604"/>
    <cellStyle name="Normal 7 7" xfId="605"/>
    <cellStyle name="Normal 7 8" xfId="606"/>
    <cellStyle name="Normal 7 9" xfId="607"/>
    <cellStyle name="Normal 70" xfId="2212"/>
    <cellStyle name="Normal 70 2" xfId="2213"/>
    <cellStyle name="Normal 70 3" xfId="2214"/>
    <cellStyle name="Normal 70 4" xfId="2215"/>
    <cellStyle name="Normal 70 5" xfId="2216"/>
    <cellStyle name="Normal 71" xfId="2217"/>
    <cellStyle name="Normal 71 2" xfId="2218"/>
    <cellStyle name="Normal 71 3" xfId="2219"/>
    <cellStyle name="Normal 71 4" xfId="2220"/>
    <cellStyle name="Normal 71 5" xfId="2221"/>
    <cellStyle name="Normal 72" xfId="2222"/>
    <cellStyle name="Normal 72 2" xfId="2223"/>
    <cellStyle name="Normal 72 3" xfId="2224"/>
    <cellStyle name="Normal 72 4" xfId="2225"/>
    <cellStyle name="Normal 72 5" xfId="2226"/>
    <cellStyle name="Normal 73" xfId="2227"/>
    <cellStyle name="Normal 73 2" xfId="2228"/>
    <cellStyle name="Normal 73 3" xfId="2229"/>
    <cellStyle name="Normal 73 4" xfId="2230"/>
    <cellStyle name="Normal 73 5" xfId="2231"/>
    <cellStyle name="Normal 74" xfId="2232"/>
    <cellStyle name="Normal 74 2" xfId="2233"/>
    <cellStyle name="Normal 74 3" xfId="2234"/>
    <cellStyle name="Normal 74 4" xfId="2235"/>
    <cellStyle name="Normal 74 5" xfId="2236"/>
    <cellStyle name="Normal 75" xfId="2237"/>
    <cellStyle name="Normal 75 2" xfId="2238"/>
    <cellStyle name="Normal 75 3" xfId="2239"/>
    <cellStyle name="Normal 75 4" xfId="2240"/>
    <cellStyle name="Normal 75 5" xfId="2241"/>
    <cellStyle name="Normal 76" xfId="2242"/>
    <cellStyle name="Normal 76 2" xfId="2243"/>
    <cellStyle name="Normal 76 3" xfId="2244"/>
    <cellStyle name="Normal 76 4" xfId="2245"/>
    <cellStyle name="Normal 76 5" xfId="2246"/>
    <cellStyle name="Normal 77" xfId="2247"/>
    <cellStyle name="Normal 77 2" xfId="2248"/>
    <cellStyle name="Normal 77 3" xfId="2249"/>
    <cellStyle name="Normal 77 4" xfId="2250"/>
    <cellStyle name="Normal 77 5" xfId="2251"/>
    <cellStyle name="Normal 78" xfId="2252"/>
    <cellStyle name="Normal 78 2" xfId="2253"/>
    <cellStyle name="Normal 78 3" xfId="2254"/>
    <cellStyle name="Normal 78 4" xfId="2255"/>
    <cellStyle name="Normal 78 5" xfId="2256"/>
    <cellStyle name="Normal 79" xfId="2257"/>
    <cellStyle name="Normal 79 2" xfId="2258"/>
    <cellStyle name="Normal 79 3" xfId="2259"/>
    <cellStyle name="Normal 79 4" xfId="2260"/>
    <cellStyle name="Normal 79 5" xfId="2261"/>
    <cellStyle name="Normal 8" xfId="608"/>
    <cellStyle name="Normal 8 2" xfId="609"/>
    <cellStyle name="Normal 8 2 2" xfId="610"/>
    <cellStyle name="Normal 8 2 2 2" xfId="2262"/>
    <cellStyle name="Normal 8 2 2 3" xfId="2263"/>
    <cellStyle name="Normal 8 2 2 4" xfId="2264"/>
    <cellStyle name="Normal 8 2 2 5" xfId="2265"/>
    <cellStyle name="Normal 8 2 3" xfId="2266"/>
    <cellStyle name="Normal 8 2 4" xfId="2267"/>
    <cellStyle name="Normal 8 2 5" xfId="2268"/>
    <cellStyle name="Normal 8 2 6" xfId="2269"/>
    <cellStyle name="Normal 8 3" xfId="611"/>
    <cellStyle name="Normal 8 3 2" xfId="2270"/>
    <cellStyle name="Normal 8 3 3" xfId="2271"/>
    <cellStyle name="Normal 8 3 4" xfId="2272"/>
    <cellStyle name="Normal 8 3 5" xfId="2273"/>
    <cellStyle name="Normal 8 4" xfId="612"/>
    <cellStyle name="Normal 8 4 2" xfId="2274"/>
    <cellStyle name="Normal 8 4 3" xfId="2275"/>
    <cellStyle name="Normal 8 4 4" xfId="2276"/>
    <cellStyle name="Normal 8 4 5" xfId="2277"/>
    <cellStyle name="Normal 8 5" xfId="2278"/>
    <cellStyle name="Normal 8 6" xfId="2279"/>
    <cellStyle name="Normal 8 7" xfId="2280"/>
    <cellStyle name="Normal 8 8" xfId="2281"/>
    <cellStyle name="Normal 80" xfId="2282"/>
    <cellStyle name="Normal 80 2" xfId="2283"/>
    <cellStyle name="Normal 80 3" xfId="2284"/>
    <cellStyle name="Normal 80 4" xfId="2285"/>
    <cellStyle name="Normal 80 5" xfId="2286"/>
    <cellStyle name="Normal 81" xfId="2287"/>
    <cellStyle name="Normal 81 2" xfId="2288"/>
    <cellStyle name="Normal 81 3" xfId="2289"/>
    <cellStyle name="Normal 81 4" xfId="2290"/>
    <cellStyle name="Normal 81 5" xfId="2291"/>
    <cellStyle name="Normal 82" xfId="2292"/>
    <cellStyle name="Normal 82 2" xfId="2293"/>
    <cellStyle name="Normal 82 3" xfId="2294"/>
    <cellStyle name="Normal 82 4" xfId="2295"/>
    <cellStyle name="Normal 82 5" xfId="2296"/>
    <cellStyle name="Normal 83" xfId="2297"/>
    <cellStyle name="Normal 83 2" xfId="2298"/>
    <cellStyle name="Normal 83 3" xfId="2299"/>
    <cellStyle name="Normal 83 4" xfId="2300"/>
    <cellStyle name="Normal 83 5" xfId="2301"/>
    <cellStyle name="Normal 84" xfId="2302"/>
    <cellStyle name="Normal 84 2" xfId="2303"/>
    <cellStyle name="Normal 84 3" xfId="2304"/>
    <cellStyle name="Normal 84 4" xfId="2305"/>
    <cellStyle name="Normal 84 5" xfId="2306"/>
    <cellStyle name="Normal 85" xfId="2307"/>
    <cellStyle name="Normal 85 2" xfId="2308"/>
    <cellStyle name="Normal 85 3" xfId="2309"/>
    <cellStyle name="Normal 85 4" xfId="2310"/>
    <cellStyle name="Normal 85 5" xfId="2311"/>
    <cellStyle name="Normal 86" xfId="2312"/>
    <cellStyle name="Normal 86 2" xfId="2313"/>
    <cellStyle name="Normal 86 3" xfId="2314"/>
    <cellStyle name="Normal 86 4" xfId="2315"/>
    <cellStyle name="Normal 86 5" xfId="2316"/>
    <cellStyle name="Normal 87" xfId="2317"/>
    <cellStyle name="Normal 87 2" xfId="2318"/>
    <cellStyle name="Normal 87 3" xfId="2319"/>
    <cellStyle name="Normal 87 4" xfId="2320"/>
    <cellStyle name="Normal 87 5" xfId="2321"/>
    <cellStyle name="Normal 88" xfId="2322"/>
    <cellStyle name="Normal 88 2" xfId="2323"/>
    <cellStyle name="Normal 88 3" xfId="2324"/>
    <cellStyle name="Normal 88 4" xfId="2325"/>
    <cellStyle name="Normal 88 5" xfId="2326"/>
    <cellStyle name="Normal 89" xfId="2327"/>
    <cellStyle name="Normal 89 2" xfId="2328"/>
    <cellStyle name="Normal 89 3" xfId="2329"/>
    <cellStyle name="Normal 89 4" xfId="2330"/>
    <cellStyle name="Normal 89 5" xfId="2331"/>
    <cellStyle name="Normal 9" xfId="613"/>
    <cellStyle name="Normal 9 2" xfId="614"/>
    <cellStyle name="Normal 9 2 2" xfId="615"/>
    <cellStyle name="Normal 9 2 2 2" xfId="2332"/>
    <cellStyle name="Normal 9 2 2 3" xfId="2333"/>
    <cellStyle name="Normal 9 2 2 4" xfId="2334"/>
    <cellStyle name="Normal 9 2 2 5" xfId="2335"/>
    <cellStyle name="Normal 9 2 3" xfId="2336"/>
    <cellStyle name="Normal 9 2 4" xfId="2337"/>
    <cellStyle name="Normal 9 2 5" xfId="2338"/>
    <cellStyle name="Normal 9 2 6" xfId="2339"/>
    <cellStyle name="Normal 9 3" xfId="616"/>
    <cellStyle name="Normal 9 3 2" xfId="2340"/>
    <cellStyle name="Normal 9 3 3" xfId="2341"/>
    <cellStyle name="Normal 9 3 4" xfId="2342"/>
    <cellStyle name="Normal 9 3 5" xfId="2343"/>
    <cellStyle name="Normal 9 4" xfId="617"/>
    <cellStyle name="Normal 9 4 2" xfId="2344"/>
    <cellStyle name="Normal 9 4 3" xfId="2345"/>
    <cellStyle name="Normal 9 4 4" xfId="2346"/>
    <cellStyle name="Normal 9 4 5" xfId="2347"/>
    <cellStyle name="Normal 9 5" xfId="2348"/>
    <cellStyle name="Normal 9 6" xfId="2349"/>
    <cellStyle name="Normal 9 7" xfId="2350"/>
    <cellStyle name="Normal 9 8" xfId="2351"/>
    <cellStyle name="Normal 90" xfId="2352"/>
    <cellStyle name="Normal 90 2" xfId="2353"/>
    <cellStyle name="Normal 90 3" xfId="2354"/>
    <cellStyle name="Normal 90 4" xfId="2355"/>
    <cellStyle name="Normal 90 5" xfId="2356"/>
    <cellStyle name="Normal 91" xfId="2357"/>
    <cellStyle name="Normal 91 2" xfId="2358"/>
    <cellStyle name="Normal 91 3" xfId="2359"/>
    <cellStyle name="Normal 91 4" xfId="2360"/>
    <cellStyle name="Normal 91 5" xfId="2361"/>
    <cellStyle name="Normal 92" xfId="2362"/>
    <cellStyle name="Normal 92 2" xfId="2363"/>
    <cellStyle name="Normal 92 3" xfId="2364"/>
    <cellStyle name="Normal 92 4" xfId="2365"/>
    <cellStyle name="Normal 92 5" xfId="2366"/>
    <cellStyle name="Normal 93" xfId="2367"/>
    <cellStyle name="Normal 93 2" xfId="2368"/>
    <cellStyle name="Normal 93 3" xfId="2369"/>
    <cellStyle name="Normal 93 4" xfId="2370"/>
    <cellStyle name="Normal 93 5" xfId="2371"/>
    <cellStyle name="Normal 94" xfId="2372"/>
    <cellStyle name="Normal 94 2" xfId="2373"/>
    <cellStyle name="Normal 94 3" xfId="2374"/>
    <cellStyle name="Normal 94 4" xfId="2375"/>
    <cellStyle name="Normal 94 5" xfId="2376"/>
    <cellStyle name="Normal 95" xfId="2377"/>
    <cellStyle name="Normal 95 2" xfId="2378"/>
    <cellStyle name="Normal 95 3" xfId="2379"/>
    <cellStyle name="Normal 95 4" xfId="2380"/>
    <cellStyle name="Normal 95 5" xfId="2381"/>
    <cellStyle name="Normal 96" xfId="2382"/>
    <cellStyle name="Normal 96 2" xfId="2383"/>
    <cellStyle name="Normal 96 3" xfId="2384"/>
    <cellStyle name="Normal 96 4" xfId="2385"/>
    <cellStyle name="Normal 96 5" xfId="2386"/>
    <cellStyle name="Normal 97" xfId="2387"/>
    <cellStyle name="Normal 97 2" xfId="2388"/>
    <cellStyle name="Normal 97 3" xfId="2389"/>
    <cellStyle name="Normal 97 4" xfId="2390"/>
    <cellStyle name="Normal 97 5" xfId="2391"/>
    <cellStyle name="Normal 98" xfId="2392"/>
    <cellStyle name="Normal 98 2" xfId="2393"/>
    <cellStyle name="Normal 98 3" xfId="2394"/>
    <cellStyle name="Normal 98 4" xfId="2395"/>
    <cellStyle name="Normal 98 5" xfId="2396"/>
    <cellStyle name="Normal 99" xfId="2397"/>
    <cellStyle name="Normal 99 2" xfId="2398"/>
    <cellStyle name="Normal 99 3" xfId="2399"/>
    <cellStyle name="Normal 99 4" xfId="2400"/>
    <cellStyle name="Normal 99 5" xfId="2401"/>
    <cellStyle name="Normal1" xfId="618"/>
    <cellStyle name="Normal2" xfId="619"/>
    <cellStyle name="Normal3" xfId="620"/>
    <cellStyle name="Normal4" xfId="621"/>
    <cellStyle name="Normale_PERSONAL" xfId="622"/>
    <cellStyle name="Note 2" xfId="623"/>
    <cellStyle name="Note 2 2" xfId="2402"/>
    <cellStyle name="Note 2 3" xfId="2403"/>
    <cellStyle name="Note 2 4" xfId="2404"/>
    <cellStyle name="Note 2 5" xfId="2405"/>
    <cellStyle name="Note 3" xfId="624"/>
    <cellStyle name="Note 3 2" xfId="625"/>
    <cellStyle name="Note 4" xfId="626"/>
    <cellStyle name="Note 4 2" xfId="2406"/>
    <cellStyle name="Note 4 3" xfId="2407"/>
    <cellStyle name="Note 4 4" xfId="2408"/>
    <cellStyle name="Note 4 5" xfId="2409"/>
    <cellStyle name="Note 5" xfId="627"/>
    <cellStyle name="Note 5 2" xfId="2410"/>
    <cellStyle name="Note 5 3" xfId="2411"/>
    <cellStyle name="Note 5 4" xfId="2412"/>
    <cellStyle name="Note 5 5" xfId="2413"/>
    <cellStyle name="Œ…‹aO‚e [0.00]_Contract&amp;Report" xfId="2414"/>
    <cellStyle name="Œ…‹aO‚e_Contract&amp;Report" xfId="2415"/>
    <cellStyle name="Œ…‹æØ‚è [0.00]_        " xfId="2416"/>
    <cellStyle name="Œ…‹æØ‚è_        " xfId="2417"/>
    <cellStyle name="Output 2" xfId="628"/>
    <cellStyle name="Output 2 2" xfId="2418"/>
    <cellStyle name="Output 2 3" xfId="2419"/>
    <cellStyle name="Output 2 4" xfId="2420"/>
    <cellStyle name="Output 2 5" xfId="2421"/>
    <cellStyle name="Output 3" xfId="629"/>
    <cellStyle name="Output 4" xfId="630"/>
    <cellStyle name="Output 4 2" xfId="2422"/>
    <cellStyle name="Output 4 3" xfId="2423"/>
    <cellStyle name="Output 4 4" xfId="2424"/>
    <cellStyle name="Output 4 5" xfId="2425"/>
    <cellStyle name="Output 5" xfId="631"/>
    <cellStyle name="Output 5 2" xfId="2426"/>
    <cellStyle name="Output 5 3" xfId="2427"/>
    <cellStyle name="Output 5 4" xfId="2428"/>
    <cellStyle name="Output 5 5" xfId="2429"/>
    <cellStyle name="Output Amounts" xfId="632"/>
    <cellStyle name="Output Column Headings" xfId="633"/>
    <cellStyle name="Output Line Items" xfId="634"/>
    <cellStyle name="Output Report Heading" xfId="635"/>
    <cellStyle name="Output Report Title" xfId="636"/>
    <cellStyle name="OverHead" xfId="2430"/>
    <cellStyle name="ParaBirimi [0]_RESULTS" xfId="2431"/>
    <cellStyle name="ParaBirimi_RESULTS" xfId="2432"/>
    <cellStyle name="Percent" xfId="2616" builtinId="5"/>
    <cellStyle name="Percent (0)" xfId="637"/>
    <cellStyle name="Percent [0]" xfId="638"/>
    <cellStyle name="Percent [0] 2" xfId="2433"/>
    <cellStyle name="Percent [0] 3" xfId="2434"/>
    <cellStyle name="Percent [0] 4" xfId="2435"/>
    <cellStyle name="Percent [0] 5" xfId="2436"/>
    <cellStyle name="Percent [0] 6" xfId="2437"/>
    <cellStyle name="Percent [00]" xfId="639"/>
    <cellStyle name="Percent [00] 2" xfId="2438"/>
    <cellStyle name="Percent [00] 3" xfId="2439"/>
    <cellStyle name="Percent [00] 4" xfId="2440"/>
    <cellStyle name="Percent [00] 5" xfId="2441"/>
    <cellStyle name="Percent [00] 6" xfId="2442"/>
    <cellStyle name="Percent [2]" xfId="640"/>
    <cellStyle name="Percent [2] 2" xfId="2443"/>
    <cellStyle name="Percent [2] 3" xfId="2444"/>
    <cellStyle name="Percent [2] 4" xfId="2445"/>
    <cellStyle name="Percent [2] 5" xfId="2446"/>
    <cellStyle name="Percent [2] 6" xfId="2447"/>
    <cellStyle name="Percent 10" xfId="2601"/>
    <cellStyle name="Percent 11" xfId="2602"/>
    <cellStyle name="Percent 12" xfId="2603"/>
    <cellStyle name="Percent 13" xfId="2604"/>
    <cellStyle name="Percent 14" xfId="2605"/>
    <cellStyle name="Percent 15" xfId="2606"/>
    <cellStyle name="Percent 16" xfId="2607"/>
    <cellStyle name="Percent 2" xfId="12"/>
    <cellStyle name="Percent 2 2" xfId="641"/>
    <cellStyle name="Percent 2 2 2" xfId="642"/>
    <cellStyle name="Percent 2 3" xfId="643"/>
    <cellStyle name="Percent 3" xfId="644"/>
    <cellStyle name="Percent 3 2" xfId="645"/>
    <cellStyle name="Percent 4" xfId="646"/>
    <cellStyle name="Percent 4 2" xfId="647"/>
    <cellStyle name="Percent 4 3" xfId="648"/>
    <cellStyle name="Percent 5" xfId="649"/>
    <cellStyle name="Percent 5 2" xfId="2448"/>
    <cellStyle name="Percent 5 3" xfId="2449"/>
    <cellStyle name="Percent 6" xfId="650"/>
    <cellStyle name="Percent 7" xfId="2608"/>
    <cellStyle name="Percent 8" xfId="2609"/>
    <cellStyle name="Percent 9" xfId="2610"/>
    <cellStyle name="PERCENTAGE" xfId="651"/>
    <cellStyle name="PrePop Currency (0)" xfId="652"/>
    <cellStyle name="PrePop Currency (0) 2" xfId="2450"/>
    <cellStyle name="PrePop Currency (0) 3" xfId="2451"/>
    <cellStyle name="PrePop Currency (0) 4" xfId="2452"/>
    <cellStyle name="PrePop Currency (0) 5" xfId="2453"/>
    <cellStyle name="PrePop Currency (0) 6" xfId="2454"/>
    <cellStyle name="PrePop Currency (2)" xfId="653"/>
    <cellStyle name="PrePop Units (0)" xfId="654"/>
    <cellStyle name="PrePop Units (0) 2" xfId="2455"/>
    <cellStyle name="PrePop Units (0) 3" xfId="2456"/>
    <cellStyle name="PrePop Units (0) 4" xfId="2457"/>
    <cellStyle name="PrePop Units (0) 5" xfId="2458"/>
    <cellStyle name="PrePop Units (0) 6" xfId="2459"/>
    <cellStyle name="PrePop Units (1)" xfId="655"/>
    <cellStyle name="PrePop Units (1) 2" xfId="2460"/>
    <cellStyle name="PrePop Units (1) 3" xfId="2461"/>
    <cellStyle name="PrePop Units (1) 4" xfId="2462"/>
    <cellStyle name="PrePop Units (1) 5" xfId="2463"/>
    <cellStyle name="PrePop Units (1) 6" xfId="2464"/>
    <cellStyle name="PrePop Units (2)" xfId="656"/>
    <cellStyle name="Product Title" xfId="657"/>
    <cellStyle name="PSChar" xfId="658"/>
    <cellStyle name="PSDate" xfId="659"/>
    <cellStyle name="PSDec" xfId="660"/>
    <cellStyle name="PSHeading" xfId="661"/>
    <cellStyle name="PSInt" xfId="662"/>
    <cellStyle name="PSSpacer" xfId="663"/>
    <cellStyle name="Quantity" xfId="2465"/>
    <cellStyle name="Red_WhiteFont" xfId="664"/>
    <cellStyle name="Reset  - Style7" xfId="665"/>
    <cellStyle name="RevList" xfId="2466"/>
    <cellStyle name="SAPBEXaggData" xfId="2467"/>
    <cellStyle name="SAPBEXaggDataEmph" xfId="2468"/>
    <cellStyle name="SAPBEXaggItem" xfId="2469"/>
    <cellStyle name="SAPBEXaggItemX" xfId="2470"/>
    <cellStyle name="SAPBEXchaText" xfId="2471"/>
    <cellStyle name="SAPBEXexcBad7" xfId="2472"/>
    <cellStyle name="SAPBEXexcBad8" xfId="2473"/>
    <cellStyle name="SAPBEXexcBad9" xfId="2474"/>
    <cellStyle name="SAPBEXexcCritical4" xfId="2475"/>
    <cellStyle name="SAPBEXexcCritical5" xfId="2476"/>
    <cellStyle name="SAPBEXexcCritical6" xfId="2477"/>
    <cellStyle name="SAPBEXexcGood1" xfId="2478"/>
    <cellStyle name="SAPBEXexcGood2" xfId="2479"/>
    <cellStyle name="SAPBEXexcGood3" xfId="2480"/>
    <cellStyle name="SAPBEXfilterDrill" xfId="2481"/>
    <cellStyle name="SAPBEXfilterItem" xfId="2482"/>
    <cellStyle name="SAPBEXfilterText" xfId="2483"/>
    <cellStyle name="SAPBEXformats" xfId="2484"/>
    <cellStyle name="SAPBEXheaderItem" xfId="2485"/>
    <cellStyle name="SAPBEXheaderText" xfId="2486"/>
    <cellStyle name="SAPBEXHLevel0" xfId="2487"/>
    <cellStyle name="SAPBEXHLevel0X" xfId="2488"/>
    <cellStyle name="SAPBEXHLevel1" xfId="2489"/>
    <cellStyle name="SAPBEXHLevel1X" xfId="2490"/>
    <cellStyle name="SAPBEXHLevel2" xfId="2491"/>
    <cellStyle name="SAPBEXHLevel2X" xfId="2492"/>
    <cellStyle name="SAPBEXHLevel3" xfId="2493"/>
    <cellStyle name="SAPBEXHLevel3X" xfId="2494"/>
    <cellStyle name="SAPBEXresData" xfId="2495"/>
    <cellStyle name="SAPBEXresDataEmph" xfId="2496"/>
    <cellStyle name="SAPBEXresItem" xfId="2497"/>
    <cellStyle name="SAPBEXresItemX" xfId="2498"/>
    <cellStyle name="SAPBEXstdData" xfId="2499"/>
    <cellStyle name="SAPBEXstdDataEmph" xfId="2500"/>
    <cellStyle name="SAPBEXstdItem" xfId="2501"/>
    <cellStyle name="SAPBEXstdItemX" xfId="2502"/>
    <cellStyle name="SAPBEXtitle" xfId="2503"/>
    <cellStyle name="SAPBEXundefined" xfId="2504"/>
    <cellStyle name="Separador de milhares [0]_Person" xfId="2505"/>
    <cellStyle name="Separador de milhares_Person" xfId="2506"/>
    <cellStyle name="Site" xfId="2507"/>
    <cellStyle name="Site2" xfId="2508"/>
    <cellStyle name="Standard_--&gt; BANKDET" xfId="666"/>
    <cellStyle name="Style 1" xfId="667"/>
    <cellStyle name="subhead" xfId="668"/>
    <cellStyle name="Subtotal" xfId="2509"/>
    <cellStyle name="t1" xfId="2510"/>
    <cellStyle name="Table  - Style6" xfId="669"/>
    <cellStyle name="Table  - Style6 2" xfId="2511"/>
    <cellStyle name="Table  - Style6 3" xfId="2512"/>
    <cellStyle name="Table  - Style6 4" xfId="2513"/>
    <cellStyle name="Table  - Style6 5" xfId="2514"/>
    <cellStyle name="Text" xfId="670"/>
    <cellStyle name="Text Indent A" xfId="671"/>
    <cellStyle name="Text Indent B" xfId="672"/>
    <cellStyle name="Text Indent B 2" xfId="2515"/>
    <cellStyle name="Text Indent B 3" xfId="2516"/>
    <cellStyle name="Text Indent B 4" xfId="2517"/>
    <cellStyle name="Text Indent B 5" xfId="2518"/>
    <cellStyle name="Text Indent B 6" xfId="2519"/>
    <cellStyle name="Text Indent C" xfId="673"/>
    <cellStyle name="Text Indent C 2" xfId="2520"/>
    <cellStyle name="Text Indent C 3" xfId="2521"/>
    <cellStyle name="Text Indent C 4" xfId="2522"/>
    <cellStyle name="Text Indent C 5" xfId="2523"/>
    <cellStyle name="Text Indent C 6" xfId="2524"/>
    <cellStyle name="Tickmark" xfId="674"/>
    <cellStyle name="Times New Roman" xfId="675"/>
    <cellStyle name="Title  - Style1" xfId="676"/>
    <cellStyle name="Title 2" xfId="677"/>
    <cellStyle name="Title 3" xfId="678"/>
    <cellStyle name="Title 4" xfId="679"/>
    <cellStyle name="Title 5" xfId="680"/>
    <cellStyle name="Titre1" xfId="2525"/>
    <cellStyle name="Total 2" xfId="681"/>
    <cellStyle name="Total 2 2" xfId="2526"/>
    <cellStyle name="Total 2 3" xfId="2527"/>
    <cellStyle name="Total 2 4" xfId="2528"/>
    <cellStyle name="Total 2 5" xfId="2529"/>
    <cellStyle name="Total 3" xfId="682"/>
    <cellStyle name="Total 4" xfId="683"/>
    <cellStyle name="Total 4 2" xfId="2530"/>
    <cellStyle name="Total 4 3" xfId="2531"/>
    <cellStyle name="Total 4 4" xfId="2532"/>
    <cellStyle name="Total 4 5" xfId="2533"/>
    <cellStyle name="Total 5" xfId="684"/>
    <cellStyle name="Total 5 2" xfId="2534"/>
    <cellStyle name="Total 5 3" xfId="2535"/>
    <cellStyle name="Total 5 4" xfId="2536"/>
    <cellStyle name="Total 5 5" xfId="2537"/>
    <cellStyle name="TotCol - Style5" xfId="685"/>
    <cellStyle name="TotRow - Style4" xfId="686"/>
    <cellStyle name="TotRow - Style4 2" xfId="2538"/>
    <cellStyle name="TotRow - Style4 3" xfId="2539"/>
    <cellStyle name="TotRow - Style4 4" xfId="2540"/>
    <cellStyle name="TotRow - Style4 5" xfId="2541"/>
    <cellStyle name="Tusental (0)_pldt" xfId="2542"/>
    <cellStyle name="Tusental_pldt" xfId="2543"/>
    <cellStyle name="Valuta (0)_PERSONAL" xfId="687"/>
    <cellStyle name="Valuta_PERSONAL" xfId="688"/>
    <cellStyle name="Vide" xfId="2544"/>
    <cellStyle name="Virg・ [0]_RESULTS" xfId="2545"/>
    <cellStyle name="Virg・_RESULTS" xfId="2546"/>
    <cellStyle name="W?rung [0]_laroux" xfId="689"/>
    <cellStyle name="W?rung_laroux" xfId="690"/>
    <cellStyle name="Währung [0]_--&gt; Hyperion" xfId="691"/>
    <cellStyle name="Währung_--&gt; Hyperion" xfId="692"/>
    <cellStyle name="Warning Text 2" xfId="693"/>
    <cellStyle name="Warning Text 3" xfId="694"/>
    <cellStyle name="Warning Text 4" xfId="695"/>
    <cellStyle name="Warning Text 5" xfId="696"/>
    <cellStyle name="W臧rung [0]_Compiling Utility Macross" xfId="2547"/>
    <cellStyle name="W臧rung_Compiling Utility Macrosc" xfId="2548"/>
    <cellStyle name="アクセント 1" xfId="697"/>
    <cellStyle name="アクセント 2" xfId="698"/>
    <cellStyle name="アクセント 3" xfId="699"/>
    <cellStyle name="アクセント 4" xfId="700"/>
    <cellStyle name="アクセント 5" xfId="701"/>
    <cellStyle name="アクセント 6" xfId="702"/>
    <cellStyle name="タイトル" xfId="703"/>
    <cellStyle name="チェック セル" xfId="704"/>
    <cellStyle name="どちらでもない" xfId="705"/>
    <cellStyle name="ﾄ褊褂燾・[0]_PERSONAL" xfId="2549"/>
    <cellStyle name="ﾄ褊褂燾饑PERSONAL" xfId="2550"/>
    <cellStyle name="パーセント 2" xfId="706"/>
    <cellStyle name="パーセント 2 2" xfId="707"/>
    <cellStyle name="パーセント 2 2 2" xfId="708"/>
    <cellStyle name="パーセント 3" xfId="709"/>
    <cellStyle name="ﾎ磊隆_PERSONAL" xfId="2551"/>
    <cellStyle name="メモ" xfId="710"/>
    <cellStyle name="メモ 2" xfId="2552"/>
    <cellStyle name="メモ 3" xfId="2553"/>
    <cellStyle name="メモ 4" xfId="2554"/>
    <cellStyle name="メモ 5" xfId="2555"/>
    <cellStyle name="ﾔ竟瑙糺・[0]_PERSONAL" xfId="2556"/>
    <cellStyle name="ﾔ竟瑙糺饑PERSONAL" xfId="2557"/>
    <cellStyle name="リンク セル" xfId="711"/>
    <cellStyle name="เครื่องหมายจุลภาค [0]_Person" xfId="2558"/>
    <cellStyle name="เครื่องหมายจุลภาค_Person" xfId="2559"/>
    <cellStyle name="เครื่องหมายสกุลเงิน [0]_Person" xfId="2560"/>
    <cellStyle name="เครื่องหมายสกุลเงิน_Person" xfId="2561"/>
    <cellStyle name="ปกติ_Person" xfId="2562"/>
    <cellStyle name="똿뗦먛귟 [0.00]_PRODUCT DETAIL Q1" xfId="2563"/>
    <cellStyle name="똿뗦먛귟_PRODUCT DETAIL Q1" xfId="2564"/>
    <cellStyle name="믅됞 [0.00]_PRODUCT DETAIL Q1" xfId="2565"/>
    <cellStyle name="믅됞_PRODUCT DETAIL Q1" xfId="2566"/>
    <cellStyle name="백분율_95" xfId="2567"/>
    <cellStyle name="뷭?_BOOKSHIP" xfId="712"/>
    <cellStyle name="쉼표 [0]_Fixed AssetsDep 2002 _ ISP" xfId="713"/>
    <cellStyle name="쉼표_Korko-0308 for Jan '03" xfId="714"/>
    <cellStyle name="콤마 [0]_11월1주" xfId="715"/>
    <cellStyle name="콤마_1202" xfId="716"/>
    <cellStyle name="통화 [0]_1202" xfId="2568"/>
    <cellStyle name="통화_1202" xfId="2569"/>
    <cellStyle name="표준_(정보부문)월별인원계획" xfId="2570"/>
    <cellStyle name="一般_Book1" xfId="2571"/>
    <cellStyle name="入力" xfId="717"/>
    <cellStyle name="入力 2" xfId="2572"/>
    <cellStyle name="入力 3" xfId="2573"/>
    <cellStyle name="入力 4" xfId="2574"/>
    <cellStyle name="入力 5" xfId="2575"/>
    <cellStyle name="出力" xfId="718"/>
    <cellStyle name="出力 2" xfId="2576"/>
    <cellStyle name="出力 3" xfId="2577"/>
    <cellStyle name="出力 4" xfId="2578"/>
    <cellStyle name="出力 5" xfId="2579"/>
    <cellStyle name="千位分隔_Sheet2" xfId="2580"/>
    <cellStyle name="千分位[0]_Book1" xfId="2581"/>
    <cellStyle name="千分位_Book1" xfId="2582"/>
    <cellStyle name="常规_2003 Financial Package-Aug" xfId="2583"/>
    <cellStyle name="悪い" xfId="719"/>
    <cellStyle name="未定義" xfId="2584"/>
    <cellStyle name="桁区切り [0.0]" xfId="720"/>
    <cellStyle name="桁区切り [0.00] 2" xfId="721"/>
    <cellStyle name="桁区切り [0.00]_ARAVA" xfId="722"/>
    <cellStyle name="桁区切り 2" xfId="723"/>
    <cellStyle name="桁区切り 2 2" xfId="724"/>
    <cellStyle name="桁区切り 2 2 2" xfId="725"/>
    <cellStyle name="桁区切り 3" xfId="726"/>
    <cellStyle name="桁区切り_ARAVA" xfId="727"/>
    <cellStyle name="標準 2" xfId="728"/>
    <cellStyle name="標準_1903連結財務諸表組替表" xfId="729"/>
    <cellStyle name="良い" xfId="730"/>
    <cellStyle name="見出し 1" xfId="731"/>
    <cellStyle name="見出し 2" xfId="732"/>
    <cellStyle name="見出し 3" xfId="733"/>
    <cellStyle name="見出し 4" xfId="734"/>
    <cellStyle name="計算" xfId="735"/>
    <cellStyle name="計算 2" xfId="2585"/>
    <cellStyle name="計算 3" xfId="2586"/>
    <cellStyle name="計算 4" xfId="2587"/>
    <cellStyle name="計算 5" xfId="2588"/>
    <cellStyle name="説明文" xfId="736"/>
    <cellStyle name="警告文" xfId="737"/>
    <cellStyle name="貨幣 [0]_Book1" xfId="2589"/>
    <cellStyle name="貨幣_Book1" xfId="2590"/>
    <cellStyle name="通浦 [0.00]_laroux" xfId="2591"/>
    <cellStyle name="通浦_laroux" xfId="2592"/>
    <cellStyle name="通貨 [0.00]_ARAVA" xfId="738"/>
    <cellStyle name="通貨_ARAVA" xfId="739"/>
    <cellStyle name="集計" xfId="740"/>
    <cellStyle name="集計 2" xfId="2593"/>
    <cellStyle name="集計 3" xfId="2594"/>
    <cellStyle name="集計 4" xfId="2595"/>
    <cellStyle name="集計 5" xfId="25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drawing1.xml><?xml version="1.0" encoding="utf-8"?>
<xdr:wsDr xmlns:xdr="http://schemas.openxmlformats.org/drawingml/2006/spreadsheetDrawing" xmlns:a="http://schemas.openxmlformats.org/drawingml/2006/main">
  <xdr:twoCellAnchor>
    <xdr:from>
      <xdr:col>1</xdr:col>
      <xdr:colOff>60960</xdr:colOff>
      <xdr:row>428</xdr:row>
      <xdr:rowOff>148590</xdr:rowOff>
    </xdr:from>
    <xdr:to>
      <xdr:col>1</xdr:col>
      <xdr:colOff>1832610</xdr:colOff>
      <xdr:row>428</xdr:row>
      <xdr:rowOff>148590</xdr:rowOff>
    </xdr:to>
    <xdr:sp macro="" textlink="">
      <xdr:nvSpPr>
        <xdr:cNvPr id="2" name="Right Arrow 1"/>
        <xdr:cNvSpPr/>
      </xdr:nvSpPr>
      <xdr:spPr>
        <a:xfrm>
          <a:off x="241935" y="57774840"/>
          <a:ext cx="1771650" cy="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IN"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1240"/>
  <sheetViews>
    <sheetView topLeftCell="A1023" workbookViewId="0">
      <selection activeCell="A1042" sqref="A1042"/>
    </sheetView>
  </sheetViews>
  <sheetFormatPr defaultRowHeight="11.25"/>
  <cols>
    <col min="1" max="1" width="2.7109375" style="29" customWidth="1"/>
    <col min="2" max="2" width="36.85546875" style="29" customWidth="1"/>
    <col min="3" max="3" width="10.28515625" style="29" hidden="1" customWidth="1"/>
    <col min="4" max="4" width="15.28515625" style="29" customWidth="1"/>
    <col min="5" max="5" width="16.7109375" style="29" customWidth="1"/>
    <col min="6" max="7" width="19.42578125" style="29" customWidth="1"/>
    <col min="8" max="8" width="13.7109375" style="29" customWidth="1"/>
    <col min="9" max="9" width="13.28515625" style="29" customWidth="1"/>
    <col min="10" max="10" width="3.85546875" style="29" customWidth="1"/>
    <col min="11" max="11" width="10.85546875" style="29" customWidth="1"/>
    <col min="12" max="12" width="10.28515625" style="29" customWidth="1"/>
    <col min="13" max="13" width="9.85546875" style="29" customWidth="1"/>
    <col min="14" max="14" width="10.5703125" style="29" customWidth="1"/>
    <col min="15" max="15" width="11.140625" style="29" customWidth="1"/>
    <col min="16" max="17" width="9.140625" style="29"/>
    <col min="18" max="18" width="44.42578125" style="29" customWidth="1"/>
    <col min="19" max="19" width="18" style="29" customWidth="1"/>
    <col min="20" max="20" width="12" style="29" customWidth="1"/>
    <col min="21" max="21" width="11.7109375" style="29" customWidth="1"/>
    <col min="22" max="22" width="11.28515625" style="29" customWidth="1"/>
    <col min="23" max="23" width="11.85546875" style="29" customWidth="1"/>
    <col min="24" max="256" width="9.140625" style="29"/>
    <col min="257" max="257" width="2.7109375" style="29" customWidth="1"/>
    <col min="258" max="258" width="36.85546875" style="29" customWidth="1"/>
    <col min="259" max="259" width="0" style="29" hidden="1" customWidth="1"/>
    <col min="260" max="260" width="15.28515625" style="29" customWidth="1"/>
    <col min="261" max="261" width="16.7109375" style="29" customWidth="1"/>
    <col min="262" max="263" width="19.42578125" style="29" customWidth="1"/>
    <col min="264" max="264" width="13.7109375" style="29" customWidth="1"/>
    <col min="265" max="265" width="13.28515625" style="29" customWidth="1"/>
    <col min="266" max="266" width="3.85546875" style="29" customWidth="1"/>
    <col min="267" max="267" width="10.85546875" style="29" customWidth="1"/>
    <col min="268" max="268" width="10.28515625" style="29" customWidth="1"/>
    <col min="269" max="269" width="9.85546875" style="29" customWidth="1"/>
    <col min="270" max="270" width="10.5703125" style="29" customWidth="1"/>
    <col min="271" max="271" width="11.140625" style="29" customWidth="1"/>
    <col min="272" max="273" width="9.140625" style="29"/>
    <col min="274" max="274" width="44.42578125" style="29" customWidth="1"/>
    <col min="275" max="275" width="18" style="29" customWidth="1"/>
    <col min="276" max="276" width="12" style="29" customWidth="1"/>
    <col min="277" max="277" width="11.7109375" style="29" customWidth="1"/>
    <col min="278" max="278" width="11.28515625" style="29" customWidth="1"/>
    <col min="279" max="279" width="11.85546875" style="29" customWidth="1"/>
    <col min="280" max="512" width="9.140625" style="29"/>
    <col min="513" max="513" width="2.7109375" style="29" customWidth="1"/>
    <col min="514" max="514" width="36.85546875" style="29" customWidth="1"/>
    <col min="515" max="515" width="0" style="29" hidden="1" customWidth="1"/>
    <col min="516" max="516" width="15.28515625" style="29" customWidth="1"/>
    <col min="517" max="517" width="16.7109375" style="29" customWidth="1"/>
    <col min="518" max="519" width="19.42578125" style="29" customWidth="1"/>
    <col min="520" max="520" width="13.7109375" style="29" customWidth="1"/>
    <col min="521" max="521" width="13.28515625" style="29" customWidth="1"/>
    <col min="522" max="522" width="3.85546875" style="29" customWidth="1"/>
    <col min="523" max="523" width="10.85546875" style="29" customWidth="1"/>
    <col min="524" max="524" width="10.28515625" style="29" customWidth="1"/>
    <col min="525" max="525" width="9.85546875" style="29" customWidth="1"/>
    <col min="526" max="526" width="10.5703125" style="29" customWidth="1"/>
    <col min="527" max="527" width="11.140625" style="29" customWidth="1"/>
    <col min="528" max="529" width="9.140625" style="29"/>
    <col min="530" max="530" width="44.42578125" style="29" customWidth="1"/>
    <col min="531" max="531" width="18" style="29" customWidth="1"/>
    <col min="532" max="532" width="12" style="29" customWidth="1"/>
    <col min="533" max="533" width="11.7109375" style="29" customWidth="1"/>
    <col min="534" max="534" width="11.28515625" style="29" customWidth="1"/>
    <col min="535" max="535" width="11.85546875" style="29" customWidth="1"/>
    <col min="536" max="768" width="9.140625" style="29"/>
    <col min="769" max="769" width="2.7109375" style="29" customWidth="1"/>
    <col min="770" max="770" width="36.85546875" style="29" customWidth="1"/>
    <col min="771" max="771" width="0" style="29" hidden="1" customWidth="1"/>
    <col min="772" max="772" width="15.28515625" style="29" customWidth="1"/>
    <col min="773" max="773" width="16.7109375" style="29" customWidth="1"/>
    <col min="774" max="775" width="19.42578125" style="29" customWidth="1"/>
    <col min="776" max="776" width="13.7109375" style="29" customWidth="1"/>
    <col min="777" max="777" width="13.28515625" style="29" customWidth="1"/>
    <col min="778" max="778" width="3.85546875" style="29" customWidth="1"/>
    <col min="779" max="779" width="10.85546875" style="29" customWidth="1"/>
    <col min="780" max="780" width="10.28515625" style="29" customWidth="1"/>
    <col min="781" max="781" width="9.85546875" style="29" customWidth="1"/>
    <col min="782" max="782" width="10.5703125" style="29" customWidth="1"/>
    <col min="783" max="783" width="11.140625" style="29" customWidth="1"/>
    <col min="784" max="785" width="9.140625" style="29"/>
    <col min="786" max="786" width="44.42578125" style="29" customWidth="1"/>
    <col min="787" max="787" width="18" style="29" customWidth="1"/>
    <col min="788" max="788" width="12" style="29" customWidth="1"/>
    <col min="789" max="789" width="11.7109375" style="29" customWidth="1"/>
    <col min="790" max="790" width="11.28515625" style="29" customWidth="1"/>
    <col min="791" max="791" width="11.85546875" style="29" customWidth="1"/>
    <col min="792" max="1024" width="9.140625" style="29"/>
    <col min="1025" max="1025" width="2.7109375" style="29" customWidth="1"/>
    <col min="1026" max="1026" width="36.85546875" style="29" customWidth="1"/>
    <col min="1027" max="1027" width="0" style="29" hidden="1" customWidth="1"/>
    <col min="1028" max="1028" width="15.28515625" style="29" customWidth="1"/>
    <col min="1029" max="1029" width="16.7109375" style="29" customWidth="1"/>
    <col min="1030" max="1031" width="19.42578125" style="29" customWidth="1"/>
    <col min="1032" max="1032" width="13.7109375" style="29" customWidth="1"/>
    <col min="1033" max="1033" width="13.28515625" style="29" customWidth="1"/>
    <col min="1034" max="1034" width="3.85546875" style="29" customWidth="1"/>
    <col min="1035" max="1035" width="10.85546875" style="29" customWidth="1"/>
    <col min="1036" max="1036" width="10.28515625" style="29" customWidth="1"/>
    <col min="1037" max="1037" width="9.85546875" style="29" customWidth="1"/>
    <col min="1038" max="1038" width="10.5703125" style="29" customWidth="1"/>
    <col min="1039" max="1039" width="11.140625" style="29" customWidth="1"/>
    <col min="1040" max="1041" width="9.140625" style="29"/>
    <col min="1042" max="1042" width="44.42578125" style="29" customWidth="1"/>
    <col min="1043" max="1043" width="18" style="29" customWidth="1"/>
    <col min="1044" max="1044" width="12" style="29" customWidth="1"/>
    <col min="1045" max="1045" width="11.7109375" style="29" customWidth="1"/>
    <col min="1046" max="1046" width="11.28515625" style="29" customWidth="1"/>
    <col min="1047" max="1047" width="11.85546875" style="29" customWidth="1"/>
    <col min="1048" max="1280" width="9.140625" style="29"/>
    <col min="1281" max="1281" width="2.7109375" style="29" customWidth="1"/>
    <col min="1282" max="1282" width="36.85546875" style="29" customWidth="1"/>
    <col min="1283" max="1283" width="0" style="29" hidden="1" customWidth="1"/>
    <col min="1284" max="1284" width="15.28515625" style="29" customWidth="1"/>
    <col min="1285" max="1285" width="16.7109375" style="29" customWidth="1"/>
    <col min="1286" max="1287" width="19.42578125" style="29" customWidth="1"/>
    <col min="1288" max="1288" width="13.7109375" style="29" customWidth="1"/>
    <col min="1289" max="1289" width="13.28515625" style="29" customWidth="1"/>
    <col min="1290" max="1290" width="3.85546875" style="29" customWidth="1"/>
    <col min="1291" max="1291" width="10.85546875" style="29" customWidth="1"/>
    <col min="1292" max="1292" width="10.28515625" style="29" customWidth="1"/>
    <col min="1293" max="1293" width="9.85546875" style="29" customWidth="1"/>
    <col min="1294" max="1294" width="10.5703125" style="29" customWidth="1"/>
    <col min="1295" max="1295" width="11.140625" style="29" customWidth="1"/>
    <col min="1296" max="1297" width="9.140625" style="29"/>
    <col min="1298" max="1298" width="44.42578125" style="29" customWidth="1"/>
    <col min="1299" max="1299" width="18" style="29" customWidth="1"/>
    <col min="1300" max="1300" width="12" style="29" customWidth="1"/>
    <col min="1301" max="1301" width="11.7109375" style="29" customWidth="1"/>
    <col min="1302" max="1302" width="11.28515625" style="29" customWidth="1"/>
    <col min="1303" max="1303" width="11.85546875" style="29" customWidth="1"/>
    <col min="1304" max="1536" width="9.140625" style="29"/>
    <col min="1537" max="1537" width="2.7109375" style="29" customWidth="1"/>
    <col min="1538" max="1538" width="36.85546875" style="29" customWidth="1"/>
    <col min="1539" max="1539" width="0" style="29" hidden="1" customWidth="1"/>
    <col min="1540" max="1540" width="15.28515625" style="29" customWidth="1"/>
    <col min="1541" max="1541" width="16.7109375" style="29" customWidth="1"/>
    <col min="1542" max="1543" width="19.42578125" style="29" customWidth="1"/>
    <col min="1544" max="1544" width="13.7109375" style="29" customWidth="1"/>
    <col min="1545" max="1545" width="13.28515625" style="29" customWidth="1"/>
    <col min="1546" max="1546" width="3.85546875" style="29" customWidth="1"/>
    <col min="1547" max="1547" width="10.85546875" style="29" customWidth="1"/>
    <col min="1548" max="1548" width="10.28515625" style="29" customWidth="1"/>
    <col min="1549" max="1549" width="9.85546875" style="29" customWidth="1"/>
    <col min="1550" max="1550" width="10.5703125" style="29" customWidth="1"/>
    <col min="1551" max="1551" width="11.140625" style="29" customWidth="1"/>
    <col min="1552" max="1553" width="9.140625" style="29"/>
    <col min="1554" max="1554" width="44.42578125" style="29" customWidth="1"/>
    <col min="1555" max="1555" width="18" style="29" customWidth="1"/>
    <col min="1556" max="1556" width="12" style="29" customWidth="1"/>
    <col min="1557" max="1557" width="11.7109375" style="29" customWidth="1"/>
    <col min="1558" max="1558" width="11.28515625" style="29" customWidth="1"/>
    <col min="1559" max="1559" width="11.85546875" style="29" customWidth="1"/>
    <col min="1560" max="1792" width="9.140625" style="29"/>
    <col min="1793" max="1793" width="2.7109375" style="29" customWidth="1"/>
    <col min="1794" max="1794" width="36.85546875" style="29" customWidth="1"/>
    <col min="1795" max="1795" width="0" style="29" hidden="1" customWidth="1"/>
    <col min="1796" max="1796" width="15.28515625" style="29" customWidth="1"/>
    <col min="1797" max="1797" width="16.7109375" style="29" customWidth="1"/>
    <col min="1798" max="1799" width="19.42578125" style="29" customWidth="1"/>
    <col min="1800" max="1800" width="13.7109375" style="29" customWidth="1"/>
    <col min="1801" max="1801" width="13.28515625" style="29" customWidth="1"/>
    <col min="1802" max="1802" width="3.85546875" style="29" customWidth="1"/>
    <col min="1803" max="1803" width="10.85546875" style="29" customWidth="1"/>
    <col min="1804" max="1804" width="10.28515625" style="29" customWidth="1"/>
    <col min="1805" max="1805" width="9.85546875" style="29" customWidth="1"/>
    <col min="1806" max="1806" width="10.5703125" style="29" customWidth="1"/>
    <col min="1807" max="1807" width="11.140625" style="29" customWidth="1"/>
    <col min="1808" max="1809" width="9.140625" style="29"/>
    <col min="1810" max="1810" width="44.42578125" style="29" customWidth="1"/>
    <col min="1811" max="1811" width="18" style="29" customWidth="1"/>
    <col min="1812" max="1812" width="12" style="29" customWidth="1"/>
    <col min="1813" max="1813" width="11.7109375" style="29" customWidth="1"/>
    <col min="1814" max="1814" width="11.28515625" style="29" customWidth="1"/>
    <col min="1815" max="1815" width="11.85546875" style="29" customWidth="1"/>
    <col min="1816" max="2048" width="9.140625" style="29"/>
    <col min="2049" max="2049" width="2.7109375" style="29" customWidth="1"/>
    <col min="2050" max="2050" width="36.85546875" style="29" customWidth="1"/>
    <col min="2051" max="2051" width="0" style="29" hidden="1" customWidth="1"/>
    <col min="2052" max="2052" width="15.28515625" style="29" customWidth="1"/>
    <col min="2053" max="2053" width="16.7109375" style="29" customWidth="1"/>
    <col min="2054" max="2055" width="19.42578125" style="29" customWidth="1"/>
    <col min="2056" max="2056" width="13.7109375" style="29" customWidth="1"/>
    <col min="2057" max="2057" width="13.28515625" style="29" customWidth="1"/>
    <col min="2058" max="2058" width="3.85546875" style="29" customWidth="1"/>
    <col min="2059" max="2059" width="10.85546875" style="29" customWidth="1"/>
    <col min="2060" max="2060" width="10.28515625" style="29" customWidth="1"/>
    <col min="2061" max="2061" width="9.85546875" style="29" customWidth="1"/>
    <col min="2062" max="2062" width="10.5703125" style="29" customWidth="1"/>
    <col min="2063" max="2063" width="11.140625" style="29" customWidth="1"/>
    <col min="2064" max="2065" width="9.140625" style="29"/>
    <col min="2066" max="2066" width="44.42578125" style="29" customWidth="1"/>
    <col min="2067" max="2067" width="18" style="29" customWidth="1"/>
    <col min="2068" max="2068" width="12" style="29" customWidth="1"/>
    <col min="2069" max="2069" width="11.7109375" style="29" customWidth="1"/>
    <col min="2070" max="2070" width="11.28515625" style="29" customWidth="1"/>
    <col min="2071" max="2071" width="11.85546875" style="29" customWidth="1"/>
    <col min="2072" max="2304" width="9.140625" style="29"/>
    <col min="2305" max="2305" width="2.7109375" style="29" customWidth="1"/>
    <col min="2306" max="2306" width="36.85546875" style="29" customWidth="1"/>
    <col min="2307" max="2307" width="0" style="29" hidden="1" customWidth="1"/>
    <col min="2308" max="2308" width="15.28515625" style="29" customWidth="1"/>
    <col min="2309" max="2309" width="16.7109375" style="29" customWidth="1"/>
    <col min="2310" max="2311" width="19.42578125" style="29" customWidth="1"/>
    <col min="2312" max="2312" width="13.7109375" style="29" customWidth="1"/>
    <col min="2313" max="2313" width="13.28515625" style="29" customWidth="1"/>
    <col min="2314" max="2314" width="3.85546875" style="29" customWidth="1"/>
    <col min="2315" max="2315" width="10.85546875" style="29" customWidth="1"/>
    <col min="2316" max="2316" width="10.28515625" style="29" customWidth="1"/>
    <col min="2317" max="2317" width="9.85546875" style="29" customWidth="1"/>
    <col min="2318" max="2318" width="10.5703125" style="29" customWidth="1"/>
    <col min="2319" max="2319" width="11.140625" style="29" customWidth="1"/>
    <col min="2320" max="2321" width="9.140625" style="29"/>
    <col min="2322" max="2322" width="44.42578125" style="29" customWidth="1"/>
    <col min="2323" max="2323" width="18" style="29" customWidth="1"/>
    <col min="2324" max="2324" width="12" style="29" customWidth="1"/>
    <col min="2325" max="2325" width="11.7109375" style="29" customWidth="1"/>
    <col min="2326" max="2326" width="11.28515625" style="29" customWidth="1"/>
    <col min="2327" max="2327" width="11.85546875" style="29" customWidth="1"/>
    <col min="2328" max="2560" width="9.140625" style="29"/>
    <col min="2561" max="2561" width="2.7109375" style="29" customWidth="1"/>
    <col min="2562" max="2562" width="36.85546875" style="29" customWidth="1"/>
    <col min="2563" max="2563" width="0" style="29" hidden="1" customWidth="1"/>
    <col min="2564" max="2564" width="15.28515625" style="29" customWidth="1"/>
    <col min="2565" max="2565" width="16.7109375" style="29" customWidth="1"/>
    <col min="2566" max="2567" width="19.42578125" style="29" customWidth="1"/>
    <col min="2568" max="2568" width="13.7109375" style="29" customWidth="1"/>
    <col min="2569" max="2569" width="13.28515625" style="29" customWidth="1"/>
    <col min="2570" max="2570" width="3.85546875" style="29" customWidth="1"/>
    <col min="2571" max="2571" width="10.85546875" style="29" customWidth="1"/>
    <col min="2572" max="2572" width="10.28515625" style="29" customWidth="1"/>
    <col min="2573" max="2573" width="9.85546875" style="29" customWidth="1"/>
    <col min="2574" max="2574" width="10.5703125" style="29" customWidth="1"/>
    <col min="2575" max="2575" width="11.140625" style="29" customWidth="1"/>
    <col min="2576" max="2577" width="9.140625" style="29"/>
    <col min="2578" max="2578" width="44.42578125" style="29" customWidth="1"/>
    <col min="2579" max="2579" width="18" style="29" customWidth="1"/>
    <col min="2580" max="2580" width="12" style="29" customWidth="1"/>
    <col min="2581" max="2581" width="11.7109375" style="29" customWidth="1"/>
    <col min="2582" max="2582" width="11.28515625" style="29" customWidth="1"/>
    <col min="2583" max="2583" width="11.85546875" style="29" customWidth="1"/>
    <col min="2584" max="2816" width="9.140625" style="29"/>
    <col min="2817" max="2817" width="2.7109375" style="29" customWidth="1"/>
    <col min="2818" max="2818" width="36.85546875" style="29" customWidth="1"/>
    <col min="2819" max="2819" width="0" style="29" hidden="1" customWidth="1"/>
    <col min="2820" max="2820" width="15.28515625" style="29" customWidth="1"/>
    <col min="2821" max="2821" width="16.7109375" style="29" customWidth="1"/>
    <col min="2822" max="2823" width="19.42578125" style="29" customWidth="1"/>
    <col min="2824" max="2824" width="13.7109375" style="29" customWidth="1"/>
    <col min="2825" max="2825" width="13.28515625" style="29" customWidth="1"/>
    <col min="2826" max="2826" width="3.85546875" style="29" customWidth="1"/>
    <col min="2827" max="2827" width="10.85546875" style="29" customWidth="1"/>
    <col min="2828" max="2828" width="10.28515625" style="29" customWidth="1"/>
    <col min="2829" max="2829" width="9.85546875" style="29" customWidth="1"/>
    <col min="2830" max="2830" width="10.5703125" style="29" customWidth="1"/>
    <col min="2831" max="2831" width="11.140625" style="29" customWidth="1"/>
    <col min="2832" max="2833" width="9.140625" style="29"/>
    <col min="2834" max="2834" width="44.42578125" style="29" customWidth="1"/>
    <col min="2835" max="2835" width="18" style="29" customWidth="1"/>
    <col min="2836" max="2836" width="12" style="29" customWidth="1"/>
    <col min="2837" max="2837" width="11.7109375" style="29" customWidth="1"/>
    <col min="2838" max="2838" width="11.28515625" style="29" customWidth="1"/>
    <col min="2839" max="2839" width="11.85546875" style="29" customWidth="1"/>
    <col min="2840" max="3072" width="9.140625" style="29"/>
    <col min="3073" max="3073" width="2.7109375" style="29" customWidth="1"/>
    <col min="3074" max="3074" width="36.85546875" style="29" customWidth="1"/>
    <col min="3075" max="3075" width="0" style="29" hidden="1" customWidth="1"/>
    <col min="3076" max="3076" width="15.28515625" style="29" customWidth="1"/>
    <col min="3077" max="3077" width="16.7109375" style="29" customWidth="1"/>
    <col min="3078" max="3079" width="19.42578125" style="29" customWidth="1"/>
    <col min="3080" max="3080" width="13.7109375" style="29" customWidth="1"/>
    <col min="3081" max="3081" width="13.28515625" style="29" customWidth="1"/>
    <col min="3082" max="3082" width="3.85546875" style="29" customWidth="1"/>
    <col min="3083" max="3083" width="10.85546875" style="29" customWidth="1"/>
    <col min="3084" max="3084" width="10.28515625" style="29" customWidth="1"/>
    <col min="3085" max="3085" width="9.85546875" style="29" customWidth="1"/>
    <col min="3086" max="3086" width="10.5703125" style="29" customWidth="1"/>
    <col min="3087" max="3087" width="11.140625" style="29" customWidth="1"/>
    <col min="3088" max="3089" width="9.140625" style="29"/>
    <col min="3090" max="3090" width="44.42578125" style="29" customWidth="1"/>
    <col min="3091" max="3091" width="18" style="29" customWidth="1"/>
    <col min="3092" max="3092" width="12" style="29" customWidth="1"/>
    <col min="3093" max="3093" width="11.7109375" style="29" customWidth="1"/>
    <col min="3094" max="3094" width="11.28515625" style="29" customWidth="1"/>
    <col min="3095" max="3095" width="11.85546875" style="29" customWidth="1"/>
    <col min="3096" max="3328" width="9.140625" style="29"/>
    <col min="3329" max="3329" width="2.7109375" style="29" customWidth="1"/>
    <col min="3330" max="3330" width="36.85546875" style="29" customWidth="1"/>
    <col min="3331" max="3331" width="0" style="29" hidden="1" customWidth="1"/>
    <col min="3332" max="3332" width="15.28515625" style="29" customWidth="1"/>
    <col min="3333" max="3333" width="16.7109375" style="29" customWidth="1"/>
    <col min="3334" max="3335" width="19.42578125" style="29" customWidth="1"/>
    <col min="3336" max="3336" width="13.7109375" style="29" customWidth="1"/>
    <col min="3337" max="3337" width="13.28515625" style="29" customWidth="1"/>
    <col min="3338" max="3338" width="3.85546875" style="29" customWidth="1"/>
    <col min="3339" max="3339" width="10.85546875" style="29" customWidth="1"/>
    <col min="3340" max="3340" width="10.28515625" style="29" customWidth="1"/>
    <col min="3341" max="3341" width="9.85546875" style="29" customWidth="1"/>
    <col min="3342" max="3342" width="10.5703125" style="29" customWidth="1"/>
    <col min="3343" max="3343" width="11.140625" style="29" customWidth="1"/>
    <col min="3344" max="3345" width="9.140625" style="29"/>
    <col min="3346" max="3346" width="44.42578125" style="29" customWidth="1"/>
    <col min="3347" max="3347" width="18" style="29" customWidth="1"/>
    <col min="3348" max="3348" width="12" style="29" customWidth="1"/>
    <col min="3349" max="3349" width="11.7109375" style="29" customWidth="1"/>
    <col min="3350" max="3350" width="11.28515625" style="29" customWidth="1"/>
    <col min="3351" max="3351" width="11.85546875" style="29" customWidth="1"/>
    <col min="3352" max="3584" width="9.140625" style="29"/>
    <col min="3585" max="3585" width="2.7109375" style="29" customWidth="1"/>
    <col min="3586" max="3586" width="36.85546875" style="29" customWidth="1"/>
    <col min="3587" max="3587" width="0" style="29" hidden="1" customWidth="1"/>
    <col min="3588" max="3588" width="15.28515625" style="29" customWidth="1"/>
    <col min="3589" max="3589" width="16.7109375" style="29" customWidth="1"/>
    <col min="3590" max="3591" width="19.42578125" style="29" customWidth="1"/>
    <col min="3592" max="3592" width="13.7109375" style="29" customWidth="1"/>
    <col min="3593" max="3593" width="13.28515625" style="29" customWidth="1"/>
    <col min="3594" max="3594" width="3.85546875" style="29" customWidth="1"/>
    <col min="3595" max="3595" width="10.85546875" style="29" customWidth="1"/>
    <col min="3596" max="3596" width="10.28515625" style="29" customWidth="1"/>
    <col min="3597" max="3597" width="9.85546875" style="29" customWidth="1"/>
    <col min="3598" max="3598" width="10.5703125" style="29" customWidth="1"/>
    <col min="3599" max="3599" width="11.140625" style="29" customWidth="1"/>
    <col min="3600" max="3601" width="9.140625" style="29"/>
    <col min="3602" max="3602" width="44.42578125" style="29" customWidth="1"/>
    <col min="3603" max="3603" width="18" style="29" customWidth="1"/>
    <col min="3604" max="3604" width="12" style="29" customWidth="1"/>
    <col min="3605" max="3605" width="11.7109375" style="29" customWidth="1"/>
    <col min="3606" max="3606" width="11.28515625" style="29" customWidth="1"/>
    <col min="3607" max="3607" width="11.85546875" style="29" customWidth="1"/>
    <col min="3608" max="3840" width="9.140625" style="29"/>
    <col min="3841" max="3841" width="2.7109375" style="29" customWidth="1"/>
    <col min="3842" max="3842" width="36.85546875" style="29" customWidth="1"/>
    <col min="3843" max="3843" width="0" style="29" hidden="1" customWidth="1"/>
    <col min="3844" max="3844" width="15.28515625" style="29" customWidth="1"/>
    <col min="3845" max="3845" width="16.7109375" style="29" customWidth="1"/>
    <col min="3846" max="3847" width="19.42578125" style="29" customWidth="1"/>
    <col min="3848" max="3848" width="13.7109375" style="29" customWidth="1"/>
    <col min="3849" max="3849" width="13.28515625" style="29" customWidth="1"/>
    <col min="3850" max="3850" width="3.85546875" style="29" customWidth="1"/>
    <col min="3851" max="3851" width="10.85546875" style="29" customWidth="1"/>
    <col min="3852" max="3852" width="10.28515625" style="29" customWidth="1"/>
    <col min="3853" max="3853" width="9.85546875" style="29" customWidth="1"/>
    <col min="3854" max="3854" width="10.5703125" style="29" customWidth="1"/>
    <col min="3855" max="3855" width="11.140625" style="29" customWidth="1"/>
    <col min="3856" max="3857" width="9.140625" style="29"/>
    <col min="3858" max="3858" width="44.42578125" style="29" customWidth="1"/>
    <col min="3859" max="3859" width="18" style="29" customWidth="1"/>
    <col min="3860" max="3860" width="12" style="29" customWidth="1"/>
    <col min="3861" max="3861" width="11.7109375" style="29" customWidth="1"/>
    <col min="3862" max="3862" width="11.28515625" style="29" customWidth="1"/>
    <col min="3863" max="3863" width="11.85546875" style="29" customWidth="1"/>
    <col min="3864" max="4096" width="9.140625" style="29"/>
    <col min="4097" max="4097" width="2.7109375" style="29" customWidth="1"/>
    <col min="4098" max="4098" width="36.85546875" style="29" customWidth="1"/>
    <col min="4099" max="4099" width="0" style="29" hidden="1" customWidth="1"/>
    <col min="4100" max="4100" width="15.28515625" style="29" customWidth="1"/>
    <col min="4101" max="4101" width="16.7109375" style="29" customWidth="1"/>
    <col min="4102" max="4103" width="19.42578125" style="29" customWidth="1"/>
    <col min="4104" max="4104" width="13.7109375" style="29" customWidth="1"/>
    <col min="4105" max="4105" width="13.28515625" style="29" customWidth="1"/>
    <col min="4106" max="4106" width="3.85546875" style="29" customWidth="1"/>
    <col min="4107" max="4107" width="10.85546875" style="29" customWidth="1"/>
    <col min="4108" max="4108" width="10.28515625" style="29" customWidth="1"/>
    <col min="4109" max="4109" width="9.85546875" style="29" customWidth="1"/>
    <col min="4110" max="4110" width="10.5703125" style="29" customWidth="1"/>
    <col min="4111" max="4111" width="11.140625" style="29" customWidth="1"/>
    <col min="4112" max="4113" width="9.140625" style="29"/>
    <col min="4114" max="4114" width="44.42578125" style="29" customWidth="1"/>
    <col min="4115" max="4115" width="18" style="29" customWidth="1"/>
    <col min="4116" max="4116" width="12" style="29" customWidth="1"/>
    <col min="4117" max="4117" width="11.7109375" style="29" customWidth="1"/>
    <col min="4118" max="4118" width="11.28515625" style="29" customWidth="1"/>
    <col min="4119" max="4119" width="11.85546875" style="29" customWidth="1"/>
    <col min="4120" max="4352" width="9.140625" style="29"/>
    <col min="4353" max="4353" width="2.7109375" style="29" customWidth="1"/>
    <col min="4354" max="4354" width="36.85546875" style="29" customWidth="1"/>
    <col min="4355" max="4355" width="0" style="29" hidden="1" customWidth="1"/>
    <col min="4356" max="4356" width="15.28515625" style="29" customWidth="1"/>
    <col min="4357" max="4357" width="16.7109375" style="29" customWidth="1"/>
    <col min="4358" max="4359" width="19.42578125" style="29" customWidth="1"/>
    <col min="4360" max="4360" width="13.7109375" style="29" customWidth="1"/>
    <col min="4361" max="4361" width="13.28515625" style="29" customWidth="1"/>
    <col min="4362" max="4362" width="3.85546875" style="29" customWidth="1"/>
    <col min="4363" max="4363" width="10.85546875" style="29" customWidth="1"/>
    <col min="4364" max="4364" width="10.28515625" style="29" customWidth="1"/>
    <col min="4365" max="4365" width="9.85546875" style="29" customWidth="1"/>
    <col min="4366" max="4366" width="10.5703125" style="29" customWidth="1"/>
    <col min="4367" max="4367" width="11.140625" style="29" customWidth="1"/>
    <col min="4368" max="4369" width="9.140625" style="29"/>
    <col min="4370" max="4370" width="44.42578125" style="29" customWidth="1"/>
    <col min="4371" max="4371" width="18" style="29" customWidth="1"/>
    <col min="4372" max="4372" width="12" style="29" customWidth="1"/>
    <col min="4373" max="4373" width="11.7109375" style="29" customWidth="1"/>
    <col min="4374" max="4374" width="11.28515625" style="29" customWidth="1"/>
    <col min="4375" max="4375" width="11.85546875" style="29" customWidth="1"/>
    <col min="4376" max="4608" width="9.140625" style="29"/>
    <col min="4609" max="4609" width="2.7109375" style="29" customWidth="1"/>
    <col min="4610" max="4610" width="36.85546875" style="29" customWidth="1"/>
    <col min="4611" max="4611" width="0" style="29" hidden="1" customWidth="1"/>
    <col min="4612" max="4612" width="15.28515625" style="29" customWidth="1"/>
    <col min="4613" max="4613" width="16.7109375" style="29" customWidth="1"/>
    <col min="4614" max="4615" width="19.42578125" style="29" customWidth="1"/>
    <col min="4616" max="4616" width="13.7109375" style="29" customWidth="1"/>
    <col min="4617" max="4617" width="13.28515625" style="29" customWidth="1"/>
    <col min="4618" max="4618" width="3.85546875" style="29" customWidth="1"/>
    <col min="4619" max="4619" width="10.85546875" style="29" customWidth="1"/>
    <col min="4620" max="4620" width="10.28515625" style="29" customWidth="1"/>
    <col min="4621" max="4621" width="9.85546875" style="29" customWidth="1"/>
    <col min="4622" max="4622" width="10.5703125" style="29" customWidth="1"/>
    <col min="4623" max="4623" width="11.140625" style="29" customWidth="1"/>
    <col min="4624" max="4625" width="9.140625" style="29"/>
    <col min="4626" max="4626" width="44.42578125" style="29" customWidth="1"/>
    <col min="4627" max="4627" width="18" style="29" customWidth="1"/>
    <col min="4628" max="4628" width="12" style="29" customWidth="1"/>
    <col min="4629" max="4629" width="11.7109375" style="29" customWidth="1"/>
    <col min="4630" max="4630" width="11.28515625" style="29" customWidth="1"/>
    <col min="4631" max="4631" width="11.85546875" style="29" customWidth="1"/>
    <col min="4632" max="4864" width="9.140625" style="29"/>
    <col min="4865" max="4865" width="2.7109375" style="29" customWidth="1"/>
    <col min="4866" max="4866" width="36.85546875" style="29" customWidth="1"/>
    <col min="4867" max="4867" width="0" style="29" hidden="1" customWidth="1"/>
    <col min="4868" max="4868" width="15.28515625" style="29" customWidth="1"/>
    <col min="4869" max="4869" width="16.7109375" style="29" customWidth="1"/>
    <col min="4870" max="4871" width="19.42578125" style="29" customWidth="1"/>
    <col min="4872" max="4872" width="13.7109375" style="29" customWidth="1"/>
    <col min="4873" max="4873" width="13.28515625" style="29" customWidth="1"/>
    <col min="4874" max="4874" width="3.85546875" style="29" customWidth="1"/>
    <col min="4875" max="4875" width="10.85546875" style="29" customWidth="1"/>
    <col min="4876" max="4876" width="10.28515625" style="29" customWidth="1"/>
    <col min="4877" max="4877" width="9.85546875" style="29" customWidth="1"/>
    <col min="4878" max="4878" width="10.5703125" style="29" customWidth="1"/>
    <col min="4879" max="4879" width="11.140625" style="29" customWidth="1"/>
    <col min="4880" max="4881" width="9.140625" style="29"/>
    <col min="4882" max="4882" width="44.42578125" style="29" customWidth="1"/>
    <col min="4883" max="4883" width="18" style="29" customWidth="1"/>
    <col min="4884" max="4884" width="12" style="29" customWidth="1"/>
    <col min="4885" max="4885" width="11.7109375" style="29" customWidth="1"/>
    <col min="4886" max="4886" width="11.28515625" style="29" customWidth="1"/>
    <col min="4887" max="4887" width="11.85546875" style="29" customWidth="1"/>
    <col min="4888" max="5120" width="9.140625" style="29"/>
    <col min="5121" max="5121" width="2.7109375" style="29" customWidth="1"/>
    <col min="5122" max="5122" width="36.85546875" style="29" customWidth="1"/>
    <col min="5123" max="5123" width="0" style="29" hidden="1" customWidth="1"/>
    <col min="5124" max="5124" width="15.28515625" style="29" customWidth="1"/>
    <col min="5125" max="5125" width="16.7109375" style="29" customWidth="1"/>
    <col min="5126" max="5127" width="19.42578125" style="29" customWidth="1"/>
    <col min="5128" max="5128" width="13.7109375" style="29" customWidth="1"/>
    <col min="5129" max="5129" width="13.28515625" style="29" customWidth="1"/>
    <col min="5130" max="5130" width="3.85546875" style="29" customWidth="1"/>
    <col min="5131" max="5131" width="10.85546875" style="29" customWidth="1"/>
    <col min="5132" max="5132" width="10.28515625" style="29" customWidth="1"/>
    <col min="5133" max="5133" width="9.85546875" style="29" customWidth="1"/>
    <col min="5134" max="5134" width="10.5703125" style="29" customWidth="1"/>
    <col min="5135" max="5135" width="11.140625" style="29" customWidth="1"/>
    <col min="5136" max="5137" width="9.140625" style="29"/>
    <col min="5138" max="5138" width="44.42578125" style="29" customWidth="1"/>
    <col min="5139" max="5139" width="18" style="29" customWidth="1"/>
    <col min="5140" max="5140" width="12" style="29" customWidth="1"/>
    <col min="5141" max="5141" width="11.7109375" style="29" customWidth="1"/>
    <col min="5142" max="5142" width="11.28515625" style="29" customWidth="1"/>
    <col min="5143" max="5143" width="11.85546875" style="29" customWidth="1"/>
    <col min="5144" max="5376" width="9.140625" style="29"/>
    <col min="5377" max="5377" width="2.7109375" style="29" customWidth="1"/>
    <col min="5378" max="5378" width="36.85546875" style="29" customWidth="1"/>
    <col min="5379" max="5379" width="0" style="29" hidden="1" customWidth="1"/>
    <col min="5380" max="5380" width="15.28515625" style="29" customWidth="1"/>
    <col min="5381" max="5381" width="16.7109375" style="29" customWidth="1"/>
    <col min="5382" max="5383" width="19.42578125" style="29" customWidth="1"/>
    <col min="5384" max="5384" width="13.7109375" style="29" customWidth="1"/>
    <col min="5385" max="5385" width="13.28515625" style="29" customWidth="1"/>
    <col min="5386" max="5386" width="3.85546875" style="29" customWidth="1"/>
    <col min="5387" max="5387" width="10.85546875" style="29" customWidth="1"/>
    <col min="5388" max="5388" width="10.28515625" style="29" customWidth="1"/>
    <col min="5389" max="5389" width="9.85546875" style="29" customWidth="1"/>
    <col min="5390" max="5390" width="10.5703125" style="29" customWidth="1"/>
    <col min="5391" max="5391" width="11.140625" style="29" customWidth="1"/>
    <col min="5392" max="5393" width="9.140625" style="29"/>
    <col min="5394" max="5394" width="44.42578125" style="29" customWidth="1"/>
    <col min="5395" max="5395" width="18" style="29" customWidth="1"/>
    <col min="5396" max="5396" width="12" style="29" customWidth="1"/>
    <col min="5397" max="5397" width="11.7109375" style="29" customWidth="1"/>
    <col min="5398" max="5398" width="11.28515625" style="29" customWidth="1"/>
    <col min="5399" max="5399" width="11.85546875" style="29" customWidth="1"/>
    <col min="5400" max="5632" width="9.140625" style="29"/>
    <col min="5633" max="5633" width="2.7109375" style="29" customWidth="1"/>
    <col min="5634" max="5634" width="36.85546875" style="29" customWidth="1"/>
    <col min="5635" max="5635" width="0" style="29" hidden="1" customWidth="1"/>
    <col min="5636" max="5636" width="15.28515625" style="29" customWidth="1"/>
    <col min="5637" max="5637" width="16.7109375" style="29" customWidth="1"/>
    <col min="5638" max="5639" width="19.42578125" style="29" customWidth="1"/>
    <col min="5640" max="5640" width="13.7109375" style="29" customWidth="1"/>
    <col min="5641" max="5641" width="13.28515625" style="29" customWidth="1"/>
    <col min="5642" max="5642" width="3.85546875" style="29" customWidth="1"/>
    <col min="5643" max="5643" width="10.85546875" style="29" customWidth="1"/>
    <col min="5644" max="5644" width="10.28515625" style="29" customWidth="1"/>
    <col min="5645" max="5645" width="9.85546875" style="29" customWidth="1"/>
    <col min="5646" max="5646" width="10.5703125" style="29" customWidth="1"/>
    <col min="5647" max="5647" width="11.140625" style="29" customWidth="1"/>
    <col min="5648" max="5649" width="9.140625" style="29"/>
    <col min="5650" max="5650" width="44.42578125" style="29" customWidth="1"/>
    <col min="5651" max="5651" width="18" style="29" customWidth="1"/>
    <col min="5652" max="5652" width="12" style="29" customWidth="1"/>
    <col min="5653" max="5653" width="11.7109375" style="29" customWidth="1"/>
    <col min="5654" max="5654" width="11.28515625" style="29" customWidth="1"/>
    <col min="5655" max="5655" width="11.85546875" style="29" customWidth="1"/>
    <col min="5656" max="5888" width="9.140625" style="29"/>
    <col min="5889" max="5889" width="2.7109375" style="29" customWidth="1"/>
    <col min="5890" max="5890" width="36.85546875" style="29" customWidth="1"/>
    <col min="5891" max="5891" width="0" style="29" hidden="1" customWidth="1"/>
    <col min="5892" max="5892" width="15.28515625" style="29" customWidth="1"/>
    <col min="5893" max="5893" width="16.7109375" style="29" customWidth="1"/>
    <col min="5894" max="5895" width="19.42578125" style="29" customWidth="1"/>
    <col min="5896" max="5896" width="13.7109375" style="29" customWidth="1"/>
    <col min="5897" max="5897" width="13.28515625" style="29" customWidth="1"/>
    <col min="5898" max="5898" width="3.85546875" style="29" customWidth="1"/>
    <col min="5899" max="5899" width="10.85546875" style="29" customWidth="1"/>
    <col min="5900" max="5900" width="10.28515625" style="29" customWidth="1"/>
    <col min="5901" max="5901" width="9.85546875" style="29" customWidth="1"/>
    <col min="5902" max="5902" width="10.5703125" style="29" customWidth="1"/>
    <col min="5903" max="5903" width="11.140625" style="29" customWidth="1"/>
    <col min="5904" max="5905" width="9.140625" style="29"/>
    <col min="5906" max="5906" width="44.42578125" style="29" customWidth="1"/>
    <col min="5907" max="5907" width="18" style="29" customWidth="1"/>
    <col min="5908" max="5908" width="12" style="29" customWidth="1"/>
    <col min="5909" max="5909" width="11.7109375" style="29" customWidth="1"/>
    <col min="5910" max="5910" width="11.28515625" style="29" customWidth="1"/>
    <col min="5911" max="5911" width="11.85546875" style="29" customWidth="1"/>
    <col min="5912" max="6144" width="9.140625" style="29"/>
    <col min="6145" max="6145" width="2.7109375" style="29" customWidth="1"/>
    <col min="6146" max="6146" width="36.85546875" style="29" customWidth="1"/>
    <col min="6147" max="6147" width="0" style="29" hidden="1" customWidth="1"/>
    <col min="6148" max="6148" width="15.28515625" style="29" customWidth="1"/>
    <col min="6149" max="6149" width="16.7109375" style="29" customWidth="1"/>
    <col min="6150" max="6151" width="19.42578125" style="29" customWidth="1"/>
    <col min="6152" max="6152" width="13.7109375" style="29" customWidth="1"/>
    <col min="6153" max="6153" width="13.28515625" style="29" customWidth="1"/>
    <col min="6154" max="6154" width="3.85546875" style="29" customWidth="1"/>
    <col min="6155" max="6155" width="10.85546875" style="29" customWidth="1"/>
    <col min="6156" max="6156" width="10.28515625" style="29" customWidth="1"/>
    <col min="6157" max="6157" width="9.85546875" style="29" customWidth="1"/>
    <col min="6158" max="6158" width="10.5703125" style="29" customWidth="1"/>
    <col min="6159" max="6159" width="11.140625" style="29" customWidth="1"/>
    <col min="6160" max="6161" width="9.140625" style="29"/>
    <col min="6162" max="6162" width="44.42578125" style="29" customWidth="1"/>
    <col min="6163" max="6163" width="18" style="29" customWidth="1"/>
    <col min="6164" max="6164" width="12" style="29" customWidth="1"/>
    <col min="6165" max="6165" width="11.7109375" style="29" customWidth="1"/>
    <col min="6166" max="6166" width="11.28515625" style="29" customWidth="1"/>
    <col min="6167" max="6167" width="11.85546875" style="29" customWidth="1"/>
    <col min="6168" max="6400" width="9.140625" style="29"/>
    <col min="6401" max="6401" width="2.7109375" style="29" customWidth="1"/>
    <col min="6402" max="6402" width="36.85546875" style="29" customWidth="1"/>
    <col min="6403" max="6403" width="0" style="29" hidden="1" customWidth="1"/>
    <col min="6404" max="6404" width="15.28515625" style="29" customWidth="1"/>
    <col min="6405" max="6405" width="16.7109375" style="29" customWidth="1"/>
    <col min="6406" max="6407" width="19.42578125" style="29" customWidth="1"/>
    <col min="6408" max="6408" width="13.7109375" style="29" customWidth="1"/>
    <col min="6409" max="6409" width="13.28515625" style="29" customWidth="1"/>
    <col min="6410" max="6410" width="3.85546875" style="29" customWidth="1"/>
    <col min="6411" max="6411" width="10.85546875" style="29" customWidth="1"/>
    <col min="6412" max="6412" width="10.28515625" style="29" customWidth="1"/>
    <col min="6413" max="6413" width="9.85546875" style="29" customWidth="1"/>
    <col min="6414" max="6414" width="10.5703125" style="29" customWidth="1"/>
    <col min="6415" max="6415" width="11.140625" style="29" customWidth="1"/>
    <col min="6416" max="6417" width="9.140625" style="29"/>
    <col min="6418" max="6418" width="44.42578125" style="29" customWidth="1"/>
    <col min="6419" max="6419" width="18" style="29" customWidth="1"/>
    <col min="6420" max="6420" width="12" style="29" customWidth="1"/>
    <col min="6421" max="6421" width="11.7109375" style="29" customWidth="1"/>
    <col min="6422" max="6422" width="11.28515625" style="29" customWidth="1"/>
    <col min="6423" max="6423" width="11.85546875" style="29" customWidth="1"/>
    <col min="6424" max="6656" width="9.140625" style="29"/>
    <col min="6657" max="6657" width="2.7109375" style="29" customWidth="1"/>
    <col min="6658" max="6658" width="36.85546875" style="29" customWidth="1"/>
    <col min="6659" max="6659" width="0" style="29" hidden="1" customWidth="1"/>
    <col min="6660" max="6660" width="15.28515625" style="29" customWidth="1"/>
    <col min="6661" max="6661" width="16.7109375" style="29" customWidth="1"/>
    <col min="6662" max="6663" width="19.42578125" style="29" customWidth="1"/>
    <col min="6664" max="6664" width="13.7109375" style="29" customWidth="1"/>
    <col min="6665" max="6665" width="13.28515625" style="29" customWidth="1"/>
    <col min="6666" max="6666" width="3.85546875" style="29" customWidth="1"/>
    <col min="6667" max="6667" width="10.85546875" style="29" customWidth="1"/>
    <col min="6668" max="6668" width="10.28515625" style="29" customWidth="1"/>
    <col min="6669" max="6669" width="9.85546875" style="29" customWidth="1"/>
    <col min="6670" max="6670" width="10.5703125" style="29" customWidth="1"/>
    <col min="6671" max="6671" width="11.140625" style="29" customWidth="1"/>
    <col min="6672" max="6673" width="9.140625" style="29"/>
    <col min="6674" max="6674" width="44.42578125" style="29" customWidth="1"/>
    <col min="6675" max="6675" width="18" style="29" customWidth="1"/>
    <col min="6676" max="6676" width="12" style="29" customWidth="1"/>
    <col min="6677" max="6677" width="11.7109375" style="29" customWidth="1"/>
    <col min="6678" max="6678" width="11.28515625" style="29" customWidth="1"/>
    <col min="6679" max="6679" width="11.85546875" style="29" customWidth="1"/>
    <col min="6680" max="6912" width="9.140625" style="29"/>
    <col min="6913" max="6913" width="2.7109375" style="29" customWidth="1"/>
    <col min="6914" max="6914" width="36.85546875" style="29" customWidth="1"/>
    <col min="6915" max="6915" width="0" style="29" hidden="1" customWidth="1"/>
    <col min="6916" max="6916" width="15.28515625" style="29" customWidth="1"/>
    <col min="6917" max="6917" width="16.7109375" style="29" customWidth="1"/>
    <col min="6918" max="6919" width="19.42578125" style="29" customWidth="1"/>
    <col min="6920" max="6920" width="13.7109375" style="29" customWidth="1"/>
    <col min="6921" max="6921" width="13.28515625" style="29" customWidth="1"/>
    <col min="6922" max="6922" width="3.85546875" style="29" customWidth="1"/>
    <col min="6923" max="6923" width="10.85546875" style="29" customWidth="1"/>
    <col min="6924" max="6924" width="10.28515625" style="29" customWidth="1"/>
    <col min="6925" max="6925" width="9.85546875" style="29" customWidth="1"/>
    <col min="6926" max="6926" width="10.5703125" style="29" customWidth="1"/>
    <col min="6927" max="6927" width="11.140625" style="29" customWidth="1"/>
    <col min="6928" max="6929" width="9.140625" style="29"/>
    <col min="6930" max="6930" width="44.42578125" style="29" customWidth="1"/>
    <col min="6931" max="6931" width="18" style="29" customWidth="1"/>
    <col min="6932" max="6932" width="12" style="29" customWidth="1"/>
    <col min="6933" max="6933" width="11.7109375" style="29" customWidth="1"/>
    <col min="6934" max="6934" width="11.28515625" style="29" customWidth="1"/>
    <col min="6935" max="6935" width="11.85546875" style="29" customWidth="1"/>
    <col min="6936" max="7168" width="9.140625" style="29"/>
    <col min="7169" max="7169" width="2.7109375" style="29" customWidth="1"/>
    <col min="7170" max="7170" width="36.85546875" style="29" customWidth="1"/>
    <col min="7171" max="7171" width="0" style="29" hidden="1" customWidth="1"/>
    <col min="7172" max="7172" width="15.28515625" style="29" customWidth="1"/>
    <col min="7173" max="7173" width="16.7109375" style="29" customWidth="1"/>
    <col min="7174" max="7175" width="19.42578125" style="29" customWidth="1"/>
    <col min="7176" max="7176" width="13.7109375" style="29" customWidth="1"/>
    <col min="7177" max="7177" width="13.28515625" style="29" customWidth="1"/>
    <col min="7178" max="7178" width="3.85546875" style="29" customWidth="1"/>
    <col min="7179" max="7179" width="10.85546875" style="29" customWidth="1"/>
    <col min="7180" max="7180" width="10.28515625" style="29" customWidth="1"/>
    <col min="7181" max="7181" width="9.85546875" style="29" customWidth="1"/>
    <col min="7182" max="7182" width="10.5703125" style="29" customWidth="1"/>
    <col min="7183" max="7183" width="11.140625" style="29" customWidth="1"/>
    <col min="7184" max="7185" width="9.140625" style="29"/>
    <col min="7186" max="7186" width="44.42578125" style="29" customWidth="1"/>
    <col min="7187" max="7187" width="18" style="29" customWidth="1"/>
    <col min="7188" max="7188" width="12" style="29" customWidth="1"/>
    <col min="7189" max="7189" width="11.7109375" style="29" customWidth="1"/>
    <col min="7190" max="7190" width="11.28515625" style="29" customWidth="1"/>
    <col min="7191" max="7191" width="11.85546875" style="29" customWidth="1"/>
    <col min="7192" max="7424" width="9.140625" style="29"/>
    <col min="7425" max="7425" width="2.7109375" style="29" customWidth="1"/>
    <col min="7426" max="7426" width="36.85546875" style="29" customWidth="1"/>
    <col min="7427" max="7427" width="0" style="29" hidden="1" customWidth="1"/>
    <col min="7428" max="7428" width="15.28515625" style="29" customWidth="1"/>
    <col min="7429" max="7429" width="16.7109375" style="29" customWidth="1"/>
    <col min="7430" max="7431" width="19.42578125" style="29" customWidth="1"/>
    <col min="7432" max="7432" width="13.7109375" style="29" customWidth="1"/>
    <col min="7433" max="7433" width="13.28515625" style="29" customWidth="1"/>
    <col min="7434" max="7434" width="3.85546875" style="29" customWidth="1"/>
    <col min="7435" max="7435" width="10.85546875" style="29" customWidth="1"/>
    <col min="7436" max="7436" width="10.28515625" style="29" customWidth="1"/>
    <col min="7437" max="7437" width="9.85546875" style="29" customWidth="1"/>
    <col min="7438" max="7438" width="10.5703125" style="29" customWidth="1"/>
    <col min="7439" max="7439" width="11.140625" style="29" customWidth="1"/>
    <col min="7440" max="7441" width="9.140625" style="29"/>
    <col min="7442" max="7442" width="44.42578125" style="29" customWidth="1"/>
    <col min="7443" max="7443" width="18" style="29" customWidth="1"/>
    <col min="7444" max="7444" width="12" style="29" customWidth="1"/>
    <col min="7445" max="7445" width="11.7109375" style="29" customWidth="1"/>
    <col min="7446" max="7446" width="11.28515625" style="29" customWidth="1"/>
    <col min="7447" max="7447" width="11.85546875" style="29" customWidth="1"/>
    <col min="7448" max="7680" width="9.140625" style="29"/>
    <col min="7681" max="7681" width="2.7109375" style="29" customWidth="1"/>
    <col min="7682" max="7682" width="36.85546875" style="29" customWidth="1"/>
    <col min="7683" max="7683" width="0" style="29" hidden="1" customWidth="1"/>
    <col min="7684" max="7684" width="15.28515625" style="29" customWidth="1"/>
    <col min="7685" max="7685" width="16.7109375" style="29" customWidth="1"/>
    <col min="7686" max="7687" width="19.42578125" style="29" customWidth="1"/>
    <col min="7688" max="7688" width="13.7109375" style="29" customWidth="1"/>
    <col min="7689" max="7689" width="13.28515625" style="29" customWidth="1"/>
    <col min="7690" max="7690" width="3.85546875" style="29" customWidth="1"/>
    <col min="7691" max="7691" width="10.85546875" style="29" customWidth="1"/>
    <col min="7692" max="7692" width="10.28515625" style="29" customWidth="1"/>
    <col min="7693" max="7693" width="9.85546875" style="29" customWidth="1"/>
    <col min="7694" max="7694" width="10.5703125" style="29" customWidth="1"/>
    <col min="7695" max="7695" width="11.140625" style="29" customWidth="1"/>
    <col min="7696" max="7697" width="9.140625" style="29"/>
    <col min="7698" max="7698" width="44.42578125" style="29" customWidth="1"/>
    <col min="7699" max="7699" width="18" style="29" customWidth="1"/>
    <col min="7700" max="7700" width="12" style="29" customWidth="1"/>
    <col min="7701" max="7701" width="11.7109375" style="29" customWidth="1"/>
    <col min="7702" max="7702" width="11.28515625" style="29" customWidth="1"/>
    <col min="7703" max="7703" width="11.85546875" style="29" customWidth="1"/>
    <col min="7704" max="7936" width="9.140625" style="29"/>
    <col min="7937" max="7937" width="2.7109375" style="29" customWidth="1"/>
    <col min="7938" max="7938" width="36.85546875" style="29" customWidth="1"/>
    <col min="7939" max="7939" width="0" style="29" hidden="1" customWidth="1"/>
    <col min="7940" max="7940" width="15.28515625" style="29" customWidth="1"/>
    <col min="7941" max="7941" width="16.7109375" style="29" customWidth="1"/>
    <col min="7942" max="7943" width="19.42578125" style="29" customWidth="1"/>
    <col min="7944" max="7944" width="13.7109375" style="29" customWidth="1"/>
    <col min="7945" max="7945" width="13.28515625" style="29" customWidth="1"/>
    <col min="7946" max="7946" width="3.85546875" style="29" customWidth="1"/>
    <col min="7947" max="7947" width="10.85546875" style="29" customWidth="1"/>
    <col min="7948" max="7948" width="10.28515625" style="29" customWidth="1"/>
    <col min="7949" max="7949" width="9.85546875" style="29" customWidth="1"/>
    <col min="7950" max="7950" width="10.5703125" style="29" customWidth="1"/>
    <col min="7951" max="7951" width="11.140625" style="29" customWidth="1"/>
    <col min="7952" max="7953" width="9.140625" style="29"/>
    <col min="7954" max="7954" width="44.42578125" style="29" customWidth="1"/>
    <col min="7955" max="7955" width="18" style="29" customWidth="1"/>
    <col min="7956" max="7956" width="12" style="29" customWidth="1"/>
    <col min="7957" max="7957" width="11.7109375" style="29" customWidth="1"/>
    <col min="7958" max="7958" width="11.28515625" style="29" customWidth="1"/>
    <col min="7959" max="7959" width="11.85546875" style="29" customWidth="1"/>
    <col min="7960" max="8192" width="9.140625" style="29"/>
    <col min="8193" max="8193" width="2.7109375" style="29" customWidth="1"/>
    <col min="8194" max="8194" width="36.85546875" style="29" customWidth="1"/>
    <col min="8195" max="8195" width="0" style="29" hidden="1" customWidth="1"/>
    <col min="8196" max="8196" width="15.28515625" style="29" customWidth="1"/>
    <col min="8197" max="8197" width="16.7109375" style="29" customWidth="1"/>
    <col min="8198" max="8199" width="19.42578125" style="29" customWidth="1"/>
    <col min="8200" max="8200" width="13.7109375" style="29" customWidth="1"/>
    <col min="8201" max="8201" width="13.28515625" style="29" customWidth="1"/>
    <col min="8202" max="8202" width="3.85546875" style="29" customWidth="1"/>
    <col min="8203" max="8203" width="10.85546875" style="29" customWidth="1"/>
    <col min="8204" max="8204" width="10.28515625" style="29" customWidth="1"/>
    <col min="8205" max="8205" width="9.85546875" style="29" customWidth="1"/>
    <col min="8206" max="8206" width="10.5703125" style="29" customWidth="1"/>
    <col min="8207" max="8207" width="11.140625" style="29" customWidth="1"/>
    <col min="8208" max="8209" width="9.140625" style="29"/>
    <col min="8210" max="8210" width="44.42578125" style="29" customWidth="1"/>
    <col min="8211" max="8211" width="18" style="29" customWidth="1"/>
    <col min="8212" max="8212" width="12" style="29" customWidth="1"/>
    <col min="8213" max="8213" width="11.7109375" style="29" customWidth="1"/>
    <col min="8214" max="8214" width="11.28515625" style="29" customWidth="1"/>
    <col min="8215" max="8215" width="11.85546875" style="29" customWidth="1"/>
    <col min="8216" max="8448" width="9.140625" style="29"/>
    <col min="8449" max="8449" width="2.7109375" style="29" customWidth="1"/>
    <col min="8450" max="8450" width="36.85546875" style="29" customWidth="1"/>
    <col min="8451" max="8451" width="0" style="29" hidden="1" customWidth="1"/>
    <col min="8452" max="8452" width="15.28515625" style="29" customWidth="1"/>
    <col min="8453" max="8453" width="16.7109375" style="29" customWidth="1"/>
    <col min="8454" max="8455" width="19.42578125" style="29" customWidth="1"/>
    <col min="8456" max="8456" width="13.7109375" style="29" customWidth="1"/>
    <col min="8457" max="8457" width="13.28515625" style="29" customWidth="1"/>
    <col min="8458" max="8458" width="3.85546875" style="29" customWidth="1"/>
    <col min="8459" max="8459" width="10.85546875" style="29" customWidth="1"/>
    <col min="8460" max="8460" width="10.28515625" style="29" customWidth="1"/>
    <col min="8461" max="8461" width="9.85546875" style="29" customWidth="1"/>
    <col min="8462" max="8462" width="10.5703125" style="29" customWidth="1"/>
    <col min="8463" max="8463" width="11.140625" style="29" customWidth="1"/>
    <col min="8464" max="8465" width="9.140625" style="29"/>
    <col min="8466" max="8466" width="44.42578125" style="29" customWidth="1"/>
    <col min="8467" max="8467" width="18" style="29" customWidth="1"/>
    <col min="8468" max="8468" width="12" style="29" customWidth="1"/>
    <col min="8469" max="8469" width="11.7109375" style="29" customWidth="1"/>
    <col min="8470" max="8470" width="11.28515625" style="29" customWidth="1"/>
    <col min="8471" max="8471" width="11.85546875" style="29" customWidth="1"/>
    <col min="8472" max="8704" width="9.140625" style="29"/>
    <col min="8705" max="8705" width="2.7109375" style="29" customWidth="1"/>
    <col min="8706" max="8706" width="36.85546875" style="29" customWidth="1"/>
    <col min="8707" max="8707" width="0" style="29" hidden="1" customWidth="1"/>
    <col min="8708" max="8708" width="15.28515625" style="29" customWidth="1"/>
    <col min="8709" max="8709" width="16.7109375" style="29" customWidth="1"/>
    <col min="8710" max="8711" width="19.42578125" style="29" customWidth="1"/>
    <col min="8712" max="8712" width="13.7109375" style="29" customWidth="1"/>
    <col min="8713" max="8713" width="13.28515625" style="29" customWidth="1"/>
    <col min="8714" max="8714" width="3.85546875" style="29" customWidth="1"/>
    <col min="8715" max="8715" width="10.85546875" style="29" customWidth="1"/>
    <col min="8716" max="8716" width="10.28515625" style="29" customWidth="1"/>
    <col min="8717" max="8717" width="9.85546875" style="29" customWidth="1"/>
    <col min="8718" max="8718" width="10.5703125" style="29" customWidth="1"/>
    <col min="8719" max="8719" width="11.140625" style="29" customWidth="1"/>
    <col min="8720" max="8721" width="9.140625" style="29"/>
    <col min="8722" max="8722" width="44.42578125" style="29" customWidth="1"/>
    <col min="8723" max="8723" width="18" style="29" customWidth="1"/>
    <col min="8724" max="8724" width="12" style="29" customWidth="1"/>
    <col min="8725" max="8725" width="11.7109375" style="29" customWidth="1"/>
    <col min="8726" max="8726" width="11.28515625" style="29" customWidth="1"/>
    <col min="8727" max="8727" width="11.85546875" style="29" customWidth="1"/>
    <col min="8728" max="8960" width="9.140625" style="29"/>
    <col min="8961" max="8961" width="2.7109375" style="29" customWidth="1"/>
    <col min="8962" max="8962" width="36.85546875" style="29" customWidth="1"/>
    <col min="8963" max="8963" width="0" style="29" hidden="1" customWidth="1"/>
    <col min="8964" max="8964" width="15.28515625" style="29" customWidth="1"/>
    <col min="8965" max="8965" width="16.7109375" style="29" customWidth="1"/>
    <col min="8966" max="8967" width="19.42578125" style="29" customWidth="1"/>
    <col min="8968" max="8968" width="13.7109375" style="29" customWidth="1"/>
    <col min="8969" max="8969" width="13.28515625" style="29" customWidth="1"/>
    <col min="8970" max="8970" width="3.85546875" style="29" customWidth="1"/>
    <col min="8971" max="8971" width="10.85546875" style="29" customWidth="1"/>
    <col min="8972" max="8972" width="10.28515625" style="29" customWidth="1"/>
    <col min="8973" max="8973" width="9.85546875" style="29" customWidth="1"/>
    <col min="8974" max="8974" width="10.5703125" style="29" customWidth="1"/>
    <col min="8975" max="8975" width="11.140625" style="29" customWidth="1"/>
    <col min="8976" max="8977" width="9.140625" style="29"/>
    <col min="8978" max="8978" width="44.42578125" style="29" customWidth="1"/>
    <col min="8979" max="8979" width="18" style="29" customWidth="1"/>
    <col min="8980" max="8980" width="12" style="29" customWidth="1"/>
    <col min="8981" max="8981" width="11.7109375" style="29" customWidth="1"/>
    <col min="8982" max="8982" width="11.28515625" style="29" customWidth="1"/>
    <col min="8983" max="8983" width="11.85546875" style="29" customWidth="1"/>
    <col min="8984" max="9216" width="9.140625" style="29"/>
    <col min="9217" max="9217" width="2.7109375" style="29" customWidth="1"/>
    <col min="9218" max="9218" width="36.85546875" style="29" customWidth="1"/>
    <col min="9219" max="9219" width="0" style="29" hidden="1" customWidth="1"/>
    <col min="9220" max="9220" width="15.28515625" style="29" customWidth="1"/>
    <col min="9221" max="9221" width="16.7109375" style="29" customWidth="1"/>
    <col min="9222" max="9223" width="19.42578125" style="29" customWidth="1"/>
    <col min="9224" max="9224" width="13.7109375" style="29" customWidth="1"/>
    <col min="9225" max="9225" width="13.28515625" style="29" customWidth="1"/>
    <col min="9226" max="9226" width="3.85546875" style="29" customWidth="1"/>
    <col min="9227" max="9227" width="10.85546875" style="29" customWidth="1"/>
    <col min="9228" max="9228" width="10.28515625" style="29" customWidth="1"/>
    <col min="9229" max="9229" width="9.85546875" style="29" customWidth="1"/>
    <col min="9230" max="9230" width="10.5703125" style="29" customWidth="1"/>
    <col min="9231" max="9231" width="11.140625" style="29" customWidth="1"/>
    <col min="9232" max="9233" width="9.140625" style="29"/>
    <col min="9234" max="9234" width="44.42578125" style="29" customWidth="1"/>
    <col min="9235" max="9235" width="18" style="29" customWidth="1"/>
    <col min="9236" max="9236" width="12" style="29" customWidth="1"/>
    <col min="9237" max="9237" width="11.7109375" style="29" customWidth="1"/>
    <col min="9238" max="9238" width="11.28515625" style="29" customWidth="1"/>
    <col min="9239" max="9239" width="11.85546875" style="29" customWidth="1"/>
    <col min="9240" max="9472" width="9.140625" style="29"/>
    <col min="9473" max="9473" width="2.7109375" style="29" customWidth="1"/>
    <col min="9474" max="9474" width="36.85546875" style="29" customWidth="1"/>
    <col min="9475" max="9475" width="0" style="29" hidden="1" customWidth="1"/>
    <col min="9476" max="9476" width="15.28515625" style="29" customWidth="1"/>
    <col min="9477" max="9477" width="16.7109375" style="29" customWidth="1"/>
    <col min="9478" max="9479" width="19.42578125" style="29" customWidth="1"/>
    <col min="9480" max="9480" width="13.7109375" style="29" customWidth="1"/>
    <col min="9481" max="9481" width="13.28515625" style="29" customWidth="1"/>
    <col min="9482" max="9482" width="3.85546875" style="29" customWidth="1"/>
    <col min="9483" max="9483" width="10.85546875" style="29" customWidth="1"/>
    <col min="9484" max="9484" width="10.28515625" style="29" customWidth="1"/>
    <col min="9485" max="9485" width="9.85546875" style="29" customWidth="1"/>
    <col min="9486" max="9486" width="10.5703125" style="29" customWidth="1"/>
    <col min="9487" max="9487" width="11.140625" style="29" customWidth="1"/>
    <col min="9488" max="9489" width="9.140625" style="29"/>
    <col min="9490" max="9490" width="44.42578125" style="29" customWidth="1"/>
    <col min="9491" max="9491" width="18" style="29" customWidth="1"/>
    <col min="9492" max="9492" width="12" style="29" customWidth="1"/>
    <col min="9493" max="9493" width="11.7109375" style="29" customWidth="1"/>
    <col min="9494" max="9494" width="11.28515625" style="29" customWidth="1"/>
    <col min="9495" max="9495" width="11.85546875" style="29" customWidth="1"/>
    <col min="9496" max="9728" width="9.140625" style="29"/>
    <col min="9729" max="9729" width="2.7109375" style="29" customWidth="1"/>
    <col min="9730" max="9730" width="36.85546875" style="29" customWidth="1"/>
    <col min="9731" max="9731" width="0" style="29" hidden="1" customWidth="1"/>
    <col min="9732" max="9732" width="15.28515625" style="29" customWidth="1"/>
    <col min="9733" max="9733" width="16.7109375" style="29" customWidth="1"/>
    <col min="9734" max="9735" width="19.42578125" style="29" customWidth="1"/>
    <col min="9736" max="9736" width="13.7109375" style="29" customWidth="1"/>
    <col min="9737" max="9737" width="13.28515625" style="29" customWidth="1"/>
    <col min="9738" max="9738" width="3.85546875" style="29" customWidth="1"/>
    <col min="9739" max="9739" width="10.85546875" style="29" customWidth="1"/>
    <col min="9740" max="9740" width="10.28515625" style="29" customWidth="1"/>
    <col min="9741" max="9741" width="9.85546875" style="29" customWidth="1"/>
    <col min="9742" max="9742" width="10.5703125" style="29" customWidth="1"/>
    <col min="9743" max="9743" width="11.140625" style="29" customWidth="1"/>
    <col min="9744" max="9745" width="9.140625" style="29"/>
    <col min="9746" max="9746" width="44.42578125" style="29" customWidth="1"/>
    <col min="9747" max="9747" width="18" style="29" customWidth="1"/>
    <col min="9748" max="9748" width="12" style="29" customWidth="1"/>
    <col min="9749" max="9749" width="11.7109375" style="29" customWidth="1"/>
    <col min="9750" max="9750" width="11.28515625" style="29" customWidth="1"/>
    <col min="9751" max="9751" width="11.85546875" style="29" customWidth="1"/>
    <col min="9752" max="9984" width="9.140625" style="29"/>
    <col min="9985" max="9985" width="2.7109375" style="29" customWidth="1"/>
    <col min="9986" max="9986" width="36.85546875" style="29" customWidth="1"/>
    <col min="9987" max="9987" width="0" style="29" hidden="1" customWidth="1"/>
    <col min="9988" max="9988" width="15.28515625" style="29" customWidth="1"/>
    <col min="9989" max="9989" width="16.7109375" style="29" customWidth="1"/>
    <col min="9990" max="9991" width="19.42578125" style="29" customWidth="1"/>
    <col min="9992" max="9992" width="13.7109375" style="29" customWidth="1"/>
    <col min="9993" max="9993" width="13.28515625" style="29" customWidth="1"/>
    <col min="9994" max="9994" width="3.85546875" style="29" customWidth="1"/>
    <col min="9995" max="9995" width="10.85546875" style="29" customWidth="1"/>
    <col min="9996" max="9996" width="10.28515625" style="29" customWidth="1"/>
    <col min="9997" max="9997" width="9.85546875" style="29" customWidth="1"/>
    <col min="9998" max="9998" width="10.5703125" style="29" customWidth="1"/>
    <col min="9999" max="9999" width="11.140625" style="29" customWidth="1"/>
    <col min="10000" max="10001" width="9.140625" style="29"/>
    <col min="10002" max="10002" width="44.42578125" style="29" customWidth="1"/>
    <col min="10003" max="10003" width="18" style="29" customWidth="1"/>
    <col min="10004" max="10004" width="12" style="29" customWidth="1"/>
    <col min="10005" max="10005" width="11.7109375" style="29" customWidth="1"/>
    <col min="10006" max="10006" width="11.28515625" style="29" customWidth="1"/>
    <col min="10007" max="10007" width="11.85546875" style="29" customWidth="1"/>
    <col min="10008" max="10240" width="9.140625" style="29"/>
    <col min="10241" max="10241" width="2.7109375" style="29" customWidth="1"/>
    <col min="10242" max="10242" width="36.85546875" style="29" customWidth="1"/>
    <col min="10243" max="10243" width="0" style="29" hidden="1" customWidth="1"/>
    <col min="10244" max="10244" width="15.28515625" style="29" customWidth="1"/>
    <col min="10245" max="10245" width="16.7109375" style="29" customWidth="1"/>
    <col min="10246" max="10247" width="19.42578125" style="29" customWidth="1"/>
    <col min="10248" max="10248" width="13.7109375" style="29" customWidth="1"/>
    <col min="10249" max="10249" width="13.28515625" style="29" customWidth="1"/>
    <col min="10250" max="10250" width="3.85546875" style="29" customWidth="1"/>
    <col min="10251" max="10251" width="10.85546875" style="29" customWidth="1"/>
    <col min="10252" max="10252" width="10.28515625" style="29" customWidth="1"/>
    <col min="10253" max="10253" width="9.85546875" style="29" customWidth="1"/>
    <col min="10254" max="10254" width="10.5703125" style="29" customWidth="1"/>
    <col min="10255" max="10255" width="11.140625" style="29" customWidth="1"/>
    <col min="10256" max="10257" width="9.140625" style="29"/>
    <col min="10258" max="10258" width="44.42578125" style="29" customWidth="1"/>
    <col min="10259" max="10259" width="18" style="29" customWidth="1"/>
    <col min="10260" max="10260" width="12" style="29" customWidth="1"/>
    <col min="10261" max="10261" width="11.7109375" style="29" customWidth="1"/>
    <col min="10262" max="10262" width="11.28515625" style="29" customWidth="1"/>
    <col min="10263" max="10263" width="11.85546875" style="29" customWidth="1"/>
    <col min="10264" max="10496" width="9.140625" style="29"/>
    <col min="10497" max="10497" width="2.7109375" style="29" customWidth="1"/>
    <col min="10498" max="10498" width="36.85546875" style="29" customWidth="1"/>
    <col min="10499" max="10499" width="0" style="29" hidden="1" customWidth="1"/>
    <col min="10500" max="10500" width="15.28515625" style="29" customWidth="1"/>
    <col min="10501" max="10501" width="16.7109375" style="29" customWidth="1"/>
    <col min="10502" max="10503" width="19.42578125" style="29" customWidth="1"/>
    <col min="10504" max="10504" width="13.7109375" style="29" customWidth="1"/>
    <col min="10505" max="10505" width="13.28515625" style="29" customWidth="1"/>
    <col min="10506" max="10506" width="3.85546875" style="29" customWidth="1"/>
    <col min="10507" max="10507" width="10.85546875" style="29" customWidth="1"/>
    <col min="10508" max="10508" width="10.28515625" style="29" customWidth="1"/>
    <col min="10509" max="10509" width="9.85546875" style="29" customWidth="1"/>
    <col min="10510" max="10510" width="10.5703125" style="29" customWidth="1"/>
    <col min="10511" max="10511" width="11.140625" style="29" customWidth="1"/>
    <col min="10512" max="10513" width="9.140625" style="29"/>
    <col min="10514" max="10514" width="44.42578125" style="29" customWidth="1"/>
    <col min="10515" max="10515" width="18" style="29" customWidth="1"/>
    <col min="10516" max="10516" width="12" style="29" customWidth="1"/>
    <col min="10517" max="10517" width="11.7109375" style="29" customWidth="1"/>
    <col min="10518" max="10518" width="11.28515625" style="29" customWidth="1"/>
    <col min="10519" max="10519" width="11.85546875" style="29" customWidth="1"/>
    <col min="10520" max="10752" width="9.140625" style="29"/>
    <col min="10753" max="10753" width="2.7109375" style="29" customWidth="1"/>
    <col min="10754" max="10754" width="36.85546875" style="29" customWidth="1"/>
    <col min="10755" max="10755" width="0" style="29" hidden="1" customWidth="1"/>
    <col min="10756" max="10756" width="15.28515625" style="29" customWidth="1"/>
    <col min="10757" max="10757" width="16.7109375" style="29" customWidth="1"/>
    <col min="10758" max="10759" width="19.42578125" style="29" customWidth="1"/>
    <col min="10760" max="10760" width="13.7109375" style="29" customWidth="1"/>
    <col min="10761" max="10761" width="13.28515625" style="29" customWidth="1"/>
    <col min="10762" max="10762" width="3.85546875" style="29" customWidth="1"/>
    <col min="10763" max="10763" width="10.85546875" style="29" customWidth="1"/>
    <col min="10764" max="10764" width="10.28515625" style="29" customWidth="1"/>
    <col min="10765" max="10765" width="9.85546875" style="29" customWidth="1"/>
    <col min="10766" max="10766" width="10.5703125" style="29" customWidth="1"/>
    <col min="10767" max="10767" width="11.140625" style="29" customWidth="1"/>
    <col min="10768" max="10769" width="9.140625" style="29"/>
    <col min="10770" max="10770" width="44.42578125" style="29" customWidth="1"/>
    <col min="10771" max="10771" width="18" style="29" customWidth="1"/>
    <col min="10772" max="10772" width="12" style="29" customWidth="1"/>
    <col min="10773" max="10773" width="11.7109375" style="29" customWidth="1"/>
    <col min="10774" max="10774" width="11.28515625" style="29" customWidth="1"/>
    <col min="10775" max="10775" width="11.85546875" style="29" customWidth="1"/>
    <col min="10776" max="11008" width="9.140625" style="29"/>
    <col min="11009" max="11009" width="2.7109375" style="29" customWidth="1"/>
    <col min="11010" max="11010" width="36.85546875" style="29" customWidth="1"/>
    <col min="11011" max="11011" width="0" style="29" hidden="1" customWidth="1"/>
    <col min="11012" max="11012" width="15.28515625" style="29" customWidth="1"/>
    <col min="11013" max="11013" width="16.7109375" style="29" customWidth="1"/>
    <col min="11014" max="11015" width="19.42578125" style="29" customWidth="1"/>
    <col min="11016" max="11016" width="13.7109375" style="29" customWidth="1"/>
    <col min="11017" max="11017" width="13.28515625" style="29" customWidth="1"/>
    <col min="11018" max="11018" width="3.85546875" style="29" customWidth="1"/>
    <col min="11019" max="11019" width="10.85546875" style="29" customWidth="1"/>
    <col min="11020" max="11020" width="10.28515625" style="29" customWidth="1"/>
    <col min="11021" max="11021" width="9.85546875" style="29" customWidth="1"/>
    <col min="11022" max="11022" width="10.5703125" style="29" customWidth="1"/>
    <col min="11023" max="11023" width="11.140625" style="29" customWidth="1"/>
    <col min="11024" max="11025" width="9.140625" style="29"/>
    <col min="11026" max="11026" width="44.42578125" style="29" customWidth="1"/>
    <col min="11027" max="11027" width="18" style="29" customWidth="1"/>
    <col min="11028" max="11028" width="12" style="29" customWidth="1"/>
    <col min="11029" max="11029" width="11.7109375" style="29" customWidth="1"/>
    <col min="11030" max="11030" width="11.28515625" style="29" customWidth="1"/>
    <col min="11031" max="11031" width="11.85546875" style="29" customWidth="1"/>
    <col min="11032" max="11264" width="9.140625" style="29"/>
    <col min="11265" max="11265" width="2.7109375" style="29" customWidth="1"/>
    <col min="11266" max="11266" width="36.85546875" style="29" customWidth="1"/>
    <col min="11267" max="11267" width="0" style="29" hidden="1" customWidth="1"/>
    <col min="11268" max="11268" width="15.28515625" style="29" customWidth="1"/>
    <col min="11269" max="11269" width="16.7109375" style="29" customWidth="1"/>
    <col min="11270" max="11271" width="19.42578125" style="29" customWidth="1"/>
    <col min="11272" max="11272" width="13.7109375" style="29" customWidth="1"/>
    <col min="11273" max="11273" width="13.28515625" style="29" customWidth="1"/>
    <col min="11274" max="11274" width="3.85546875" style="29" customWidth="1"/>
    <col min="11275" max="11275" width="10.85546875" style="29" customWidth="1"/>
    <col min="11276" max="11276" width="10.28515625" style="29" customWidth="1"/>
    <col min="11277" max="11277" width="9.85546875" style="29" customWidth="1"/>
    <col min="11278" max="11278" width="10.5703125" style="29" customWidth="1"/>
    <col min="11279" max="11279" width="11.140625" style="29" customWidth="1"/>
    <col min="11280" max="11281" width="9.140625" style="29"/>
    <col min="11282" max="11282" width="44.42578125" style="29" customWidth="1"/>
    <col min="11283" max="11283" width="18" style="29" customWidth="1"/>
    <col min="11284" max="11284" width="12" style="29" customWidth="1"/>
    <col min="11285" max="11285" width="11.7109375" style="29" customWidth="1"/>
    <col min="11286" max="11286" width="11.28515625" style="29" customWidth="1"/>
    <col min="11287" max="11287" width="11.85546875" style="29" customWidth="1"/>
    <col min="11288" max="11520" width="9.140625" style="29"/>
    <col min="11521" max="11521" width="2.7109375" style="29" customWidth="1"/>
    <col min="11522" max="11522" width="36.85546875" style="29" customWidth="1"/>
    <col min="11523" max="11523" width="0" style="29" hidden="1" customWidth="1"/>
    <col min="11524" max="11524" width="15.28515625" style="29" customWidth="1"/>
    <col min="11525" max="11525" width="16.7109375" style="29" customWidth="1"/>
    <col min="11526" max="11527" width="19.42578125" style="29" customWidth="1"/>
    <col min="11528" max="11528" width="13.7109375" style="29" customWidth="1"/>
    <col min="11529" max="11529" width="13.28515625" style="29" customWidth="1"/>
    <col min="11530" max="11530" width="3.85546875" style="29" customWidth="1"/>
    <col min="11531" max="11531" width="10.85546875" style="29" customWidth="1"/>
    <col min="11532" max="11532" width="10.28515625" style="29" customWidth="1"/>
    <col min="11533" max="11533" width="9.85546875" style="29" customWidth="1"/>
    <col min="11534" max="11534" width="10.5703125" style="29" customWidth="1"/>
    <col min="11535" max="11535" width="11.140625" style="29" customWidth="1"/>
    <col min="11536" max="11537" width="9.140625" style="29"/>
    <col min="11538" max="11538" width="44.42578125" style="29" customWidth="1"/>
    <col min="11539" max="11539" width="18" style="29" customWidth="1"/>
    <col min="11540" max="11540" width="12" style="29" customWidth="1"/>
    <col min="11541" max="11541" width="11.7109375" style="29" customWidth="1"/>
    <col min="11542" max="11542" width="11.28515625" style="29" customWidth="1"/>
    <col min="11543" max="11543" width="11.85546875" style="29" customWidth="1"/>
    <col min="11544" max="11776" width="9.140625" style="29"/>
    <col min="11777" max="11777" width="2.7109375" style="29" customWidth="1"/>
    <col min="11778" max="11778" width="36.85546875" style="29" customWidth="1"/>
    <col min="11779" max="11779" width="0" style="29" hidden="1" customWidth="1"/>
    <col min="11780" max="11780" width="15.28515625" style="29" customWidth="1"/>
    <col min="11781" max="11781" width="16.7109375" style="29" customWidth="1"/>
    <col min="11782" max="11783" width="19.42578125" style="29" customWidth="1"/>
    <col min="11784" max="11784" width="13.7109375" style="29" customWidth="1"/>
    <col min="11785" max="11785" width="13.28515625" style="29" customWidth="1"/>
    <col min="11786" max="11786" width="3.85546875" style="29" customWidth="1"/>
    <col min="11787" max="11787" width="10.85546875" style="29" customWidth="1"/>
    <col min="11788" max="11788" width="10.28515625" style="29" customWidth="1"/>
    <col min="11789" max="11789" width="9.85546875" style="29" customWidth="1"/>
    <col min="11790" max="11790" width="10.5703125" style="29" customWidth="1"/>
    <col min="11791" max="11791" width="11.140625" style="29" customWidth="1"/>
    <col min="11792" max="11793" width="9.140625" style="29"/>
    <col min="11794" max="11794" width="44.42578125" style="29" customWidth="1"/>
    <col min="11795" max="11795" width="18" style="29" customWidth="1"/>
    <col min="11796" max="11796" width="12" style="29" customWidth="1"/>
    <col min="11797" max="11797" width="11.7109375" style="29" customWidth="1"/>
    <col min="11798" max="11798" width="11.28515625" style="29" customWidth="1"/>
    <col min="11799" max="11799" width="11.85546875" style="29" customWidth="1"/>
    <col min="11800" max="12032" width="9.140625" style="29"/>
    <col min="12033" max="12033" width="2.7109375" style="29" customWidth="1"/>
    <col min="12034" max="12034" width="36.85546875" style="29" customWidth="1"/>
    <col min="12035" max="12035" width="0" style="29" hidden="1" customWidth="1"/>
    <col min="12036" max="12036" width="15.28515625" style="29" customWidth="1"/>
    <col min="12037" max="12037" width="16.7109375" style="29" customWidth="1"/>
    <col min="12038" max="12039" width="19.42578125" style="29" customWidth="1"/>
    <col min="12040" max="12040" width="13.7109375" style="29" customWidth="1"/>
    <col min="12041" max="12041" width="13.28515625" style="29" customWidth="1"/>
    <col min="12042" max="12042" width="3.85546875" style="29" customWidth="1"/>
    <col min="12043" max="12043" width="10.85546875" style="29" customWidth="1"/>
    <col min="12044" max="12044" width="10.28515625" style="29" customWidth="1"/>
    <col min="12045" max="12045" width="9.85546875" style="29" customWidth="1"/>
    <col min="12046" max="12046" width="10.5703125" style="29" customWidth="1"/>
    <col min="12047" max="12047" width="11.140625" style="29" customWidth="1"/>
    <col min="12048" max="12049" width="9.140625" style="29"/>
    <col min="12050" max="12050" width="44.42578125" style="29" customWidth="1"/>
    <col min="12051" max="12051" width="18" style="29" customWidth="1"/>
    <col min="12052" max="12052" width="12" style="29" customWidth="1"/>
    <col min="12053" max="12053" width="11.7109375" style="29" customWidth="1"/>
    <col min="12054" max="12054" width="11.28515625" style="29" customWidth="1"/>
    <col min="12055" max="12055" width="11.85546875" style="29" customWidth="1"/>
    <col min="12056" max="12288" width="9.140625" style="29"/>
    <col min="12289" max="12289" width="2.7109375" style="29" customWidth="1"/>
    <col min="12290" max="12290" width="36.85546875" style="29" customWidth="1"/>
    <col min="12291" max="12291" width="0" style="29" hidden="1" customWidth="1"/>
    <col min="12292" max="12292" width="15.28515625" style="29" customWidth="1"/>
    <col min="12293" max="12293" width="16.7109375" style="29" customWidth="1"/>
    <col min="12294" max="12295" width="19.42578125" style="29" customWidth="1"/>
    <col min="12296" max="12296" width="13.7109375" style="29" customWidth="1"/>
    <col min="12297" max="12297" width="13.28515625" style="29" customWidth="1"/>
    <col min="12298" max="12298" width="3.85546875" style="29" customWidth="1"/>
    <col min="12299" max="12299" width="10.85546875" style="29" customWidth="1"/>
    <col min="12300" max="12300" width="10.28515625" style="29" customWidth="1"/>
    <col min="12301" max="12301" width="9.85546875" style="29" customWidth="1"/>
    <col min="12302" max="12302" width="10.5703125" style="29" customWidth="1"/>
    <col min="12303" max="12303" width="11.140625" style="29" customWidth="1"/>
    <col min="12304" max="12305" width="9.140625" style="29"/>
    <col min="12306" max="12306" width="44.42578125" style="29" customWidth="1"/>
    <col min="12307" max="12307" width="18" style="29" customWidth="1"/>
    <col min="12308" max="12308" width="12" style="29" customWidth="1"/>
    <col min="12309" max="12309" width="11.7109375" style="29" customWidth="1"/>
    <col min="12310" max="12310" width="11.28515625" style="29" customWidth="1"/>
    <col min="12311" max="12311" width="11.85546875" style="29" customWidth="1"/>
    <col min="12312" max="12544" width="9.140625" style="29"/>
    <col min="12545" max="12545" width="2.7109375" style="29" customWidth="1"/>
    <col min="12546" max="12546" width="36.85546875" style="29" customWidth="1"/>
    <col min="12547" max="12547" width="0" style="29" hidden="1" customWidth="1"/>
    <col min="12548" max="12548" width="15.28515625" style="29" customWidth="1"/>
    <col min="12549" max="12549" width="16.7109375" style="29" customWidth="1"/>
    <col min="12550" max="12551" width="19.42578125" style="29" customWidth="1"/>
    <col min="12552" max="12552" width="13.7109375" style="29" customWidth="1"/>
    <col min="12553" max="12553" width="13.28515625" style="29" customWidth="1"/>
    <col min="12554" max="12554" width="3.85546875" style="29" customWidth="1"/>
    <col min="12555" max="12555" width="10.85546875" style="29" customWidth="1"/>
    <col min="12556" max="12556" width="10.28515625" style="29" customWidth="1"/>
    <col min="12557" max="12557" width="9.85546875" style="29" customWidth="1"/>
    <col min="12558" max="12558" width="10.5703125" style="29" customWidth="1"/>
    <col min="12559" max="12559" width="11.140625" style="29" customWidth="1"/>
    <col min="12560" max="12561" width="9.140625" style="29"/>
    <col min="12562" max="12562" width="44.42578125" style="29" customWidth="1"/>
    <col min="12563" max="12563" width="18" style="29" customWidth="1"/>
    <col min="12564" max="12564" width="12" style="29" customWidth="1"/>
    <col min="12565" max="12565" width="11.7109375" style="29" customWidth="1"/>
    <col min="12566" max="12566" width="11.28515625" style="29" customWidth="1"/>
    <col min="12567" max="12567" width="11.85546875" style="29" customWidth="1"/>
    <col min="12568" max="12800" width="9.140625" style="29"/>
    <col min="12801" max="12801" width="2.7109375" style="29" customWidth="1"/>
    <col min="12802" max="12802" width="36.85546875" style="29" customWidth="1"/>
    <col min="12803" max="12803" width="0" style="29" hidden="1" customWidth="1"/>
    <col min="12804" max="12804" width="15.28515625" style="29" customWidth="1"/>
    <col min="12805" max="12805" width="16.7109375" style="29" customWidth="1"/>
    <col min="12806" max="12807" width="19.42578125" style="29" customWidth="1"/>
    <col min="12808" max="12808" width="13.7109375" style="29" customWidth="1"/>
    <col min="12809" max="12809" width="13.28515625" style="29" customWidth="1"/>
    <col min="12810" max="12810" width="3.85546875" style="29" customWidth="1"/>
    <col min="12811" max="12811" width="10.85546875" style="29" customWidth="1"/>
    <col min="12812" max="12812" width="10.28515625" style="29" customWidth="1"/>
    <col min="12813" max="12813" width="9.85546875" style="29" customWidth="1"/>
    <col min="12814" max="12814" width="10.5703125" style="29" customWidth="1"/>
    <col min="12815" max="12815" width="11.140625" style="29" customWidth="1"/>
    <col min="12816" max="12817" width="9.140625" style="29"/>
    <col min="12818" max="12818" width="44.42578125" style="29" customWidth="1"/>
    <col min="12819" max="12819" width="18" style="29" customWidth="1"/>
    <col min="12820" max="12820" width="12" style="29" customWidth="1"/>
    <col min="12821" max="12821" width="11.7109375" style="29" customWidth="1"/>
    <col min="12822" max="12822" width="11.28515625" style="29" customWidth="1"/>
    <col min="12823" max="12823" width="11.85546875" style="29" customWidth="1"/>
    <col min="12824" max="13056" width="9.140625" style="29"/>
    <col min="13057" max="13057" width="2.7109375" style="29" customWidth="1"/>
    <col min="13058" max="13058" width="36.85546875" style="29" customWidth="1"/>
    <col min="13059" max="13059" width="0" style="29" hidden="1" customWidth="1"/>
    <col min="13060" max="13060" width="15.28515625" style="29" customWidth="1"/>
    <col min="13061" max="13061" width="16.7109375" style="29" customWidth="1"/>
    <col min="13062" max="13063" width="19.42578125" style="29" customWidth="1"/>
    <col min="13064" max="13064" width="13.7109375" style="29" customWidth="1"/>
    <col min="13065" max="13065" width="13.28515625" style="29" customWidth="1"/>
    <col min="13066" max="13066" width="3.85546875" style="29" customWidth="1"/>
    <col min="13067" max="13067" width="10.85546875" style="29" customWidth="1"/>
    <col min="13068" max="13068" width="10.28515625" style="29" customWidth="1"/>
    <col min="13069" max="13069" width="9.85546875" style="29" customWidth="1"/>
    <col min="13070" max="13070" width="10.5703125" style="29" customWidth="1"/>
    <col min="13071" max="13071" width="11.140625" style="29" customWidth="1"/>
    <col min="13072" max="13073" width="9.140625" style="29"/>
    <col min="13074" max="13074" width="44.42578125" style="29" customWidth="1"/>
    <col min="13075" max="13075" width="18" style="29" customWidth="1"/>
    <col min="13076" max="13076" width="12" style="29" customWidth="1"/>
    <col min="13077" max="13077" width="11.7109375" style="29" customWidth="1"/>
    <col min="13078" max="13078" width="11.28515625" style="29" customWidth="1"/>
    <col min="13079" max="13079" width="11.85546875" style="29" customWidth="1"/>
    <col min="13080" max="13312" width="9.140625" style="29"/>
    <col min="13313" max="13313" width="2.7109375" style="29" customWidth="1"/>
    <col min="13314" max="13314" width="36.85546875" style="29" customWidth="1"/>
    <col min="13315" max="13315" width="0" style="29" hidden="1" customWidth="1"/>
    <col min="13316" max="13316" width="15.28515625" style="29" customWidth="1"/>
    <col min="13317" max="13317" width="16.7109375" style="29" customWidth="1"/>
    <col min="13318" max="13319" width="19.42578125" style="29" customWidth="1"/>
    <col min="13320" max="13320" width="13.7109375" style="29" customWidth="1"/>
    <col min="13321" max="13321" width="13.28515625" style="29" customWidth="1"/>
    <col min="13322" max="13322" width="3.85546875" style="29" customWidth="1"/>
    <col min="13323" max="13323" width="10.85546875" style="29" customWidth="1"/>
    <col min="13324" max="13324" width="10.28515625" style="29" customWidth="1"/>
    <col min="13325" max="13325" width="9.85546875" style="29" customWidth="1"/>
    <col min="13326" max="13326" width="10.5703125" style="29" customWidth="1"/>
    <col min="13327" max="13327" width="11.140625" style="29" customWidth="1"/>
    <col min="13328" max="13329" width="9.140625" style="29"/>
    <col min="13330" max="13330" width="44.42578125" style="29" customWidth="1"/>
    <col min="13331" max="13331" width="18" style="29" customWidth="1"/>
    <col min="13332" max="13332" width="12" style="29" customWidth="1"/>
    <col min="13333" max="13333" width="11.7109375" style="29" customWidth="1"/>
    <col min="13334" max="13334" width="11.28515625" style="29" customWidth="1"/>
    <col min="13335" max="13335" width="11.85546875" style="29" customWidth="1"/>
    <col min="13336" max="13568" width="9.140625" style="29"/>
    <col min="13569" max="13569" width="2.7109375" style="29" customWidth="1"/>
    <col min="13570" max="13570" width="36.85546875" style="29" customWidth="1"/>
    <col min="13571" max="13571" width="0" style="29" hidden="1" customWidth="1"/>
    <col min="13572" max="13572" width="15.28515625" style="29" customWidth="1"/>
    <col min="13573" max="13573" width="16.7109375" style="29" customWidth="1"/>
    <col min="13574" max="13575" width="19.42578125" style="29" customWidth="1"/>
    <col min="13576" max="13576" width="13.7109375" style="29" customWidth="1"/>
    <col min="13577" max="13577" width="13.28515625" style="29" customWidth="1"/>
    <col min="13578" max="13578" width="3.85546875" style="29" customWidth="1"/>
    <col min="13579" max="13579" width="10.85546875" style="29" customWidth="1"/>
    <col min="13580" max="13580" width="10.28515625" style="29" customWidth="1"/>
    <col min="13581" max="13581" width="9.85546875" style="29" customWidth="1"/>
    <col min="13582" max="13582" width="10.5703125" style="29" customWidth="1"/>
    <col min="13583" max="13583" width="11.140625" style="29" customWidth="1"/>
    <col min="13584" max="13585" width="9.140625" style="29"/>
    <col min="13586" max="13586" width="44.42578125" style="29" customWidth="1"/>
    <col min="13587" max="13587" width="18" style="29" customWidth="1"/>
    <col min="13588" max="13588" width="12" style="29" customWidth="1"/>
    <col min="13589" max="13589" width="11.7109375" style="29" customWidth="1"/>
    <col min="13590" max="13590" width="11.28515625" style="29" customWidth="1"/>
    <col min="13591" max="13591" width="11.85546875" style="29" customWidth="1"/>
    <col min="13592" max="13824" width="9.140625" style="29"/>
    <col min="13825" max="13825" width="2.7109375" style="29" customWidth="1"/>
    <col min="13826" max="13826" width="36.85546875" style="29" customWidth="1"/>
    <col min="13827" max="13827" width="0" style="29" hidden="1" customWidth="1"/>
    <col min="13828" max="13828" width="15.28515625" style="29" customWidth="1"/>
    <col min="13829" max="13829" width="16.7109375" style="29" customWidth="1"/>
    <col min="13830" max="13831" width="19.42578125" style="29" customWidth="1"/>
    <col min="13832" max="13832" width="13.7109375" style="29" customWidth="1"/>
    <col min="13833" max="13833" width="13.28515625" style="29" customWidth="1"/>
    <col min="13834" max="13834" width="3.85546875" style="29" customWidth="1"/>
    <col min="13835" max="13835" width="10.85546875" style="29" customWidth="1"/>
    <col min="13836" max="13836" width="10.28515625" style="29" customWidth="1"/>
    <col min="13837" max="13837" width="9.85546875" style="29" customWidth="1"/>
    <col min="13838" max="13838" width="10.5703125" style="29" customWidth="1"/>
    <col min="13839" max="13839" width="11.140625" style="29" customWidth="1"/>
    <col min="13840" max="13841" width="9.140625" style="29"/>
    <col min="13842" max="13842" width="44.42578125" style="29" customWidth="1"/>
    <col min="13843" max="13843" width="18" style="29" customWidth="1"/>
    <col min="13844" max="13844" width="12" style="29" customWidth="1"/>
    <col min="13845" max="13845" width="11.7109375" style="29" customWidth="1"/>
    <col min="13846" max="13846" width="11.28515625" style="29" customWidth="1"/>
    <col min="13847" max="13847" width="11.85546875" style="29" customWidth="1"/>
    <col min="13848" max="14080" width="9.140625" style="29"/>
    <col min="14081" max="14081" width="2.7109375" style="29" customWidth="1"/>
    <col min="14082" max="14082" width="36.85546875" style="29" customWidth="1"/>
    <col min="14083" max="14083" width="0" style="29" hidden="1" customWidth="1"/>
    <col min="14084" max="14084" width="15.28515625" style="29" customWidth="1"/>
    <col min="14085" max="14085" width="16.7109375" style="29" customWidth="1"/>
    <col min="14086" max="14087" width="19.42578125" style="29" customWidth="1"/>
    <col min="14088" max="14088" width="13.7109375" style="29" customWidth="1"/>
    <col min="14089" max="14089" width="13.28515625" style="29" customWidth="1"/>
    <col min="14090" max="14090" width="3.85546875" style="29" customWidth="1"/>
    <col min="14091" max="14091" width="10.85546875" style="29" customWidth="1"/>
    <col min="14092" max="14092" width="10.28515625" style="29" customWidth="1"/>
    <col min="14093" max="14093" width="9.85546875" style="29" customWidth="1"/>
    <col min="14094" max="14094" width="10.5703125" style="29" customWidth="1"/>
    <col min="14095" max="14095" width="11.140625" style="29" customWidth="1"/>
    <col min="14096" max="14097" width="9.140625" style="29"/>
    <col min="14098" max="14098" width="44.42578125" style="29" customWidth="1"/>
    <col min="14099" max="14099" width="18" style="29" customWidth="1"/>
    <col min="14100" max="14100" width="12" style="29" customWidth="1"/>
    <col min="14101" max="14101" width="11.7109375" style="29" customWidth="1"/>
    <col min="14102" max="14102" width="11.28515625" style="29" customWidth="1"/>
    <col min="14103" max="14103" width="11.85546875" style="29" customWidth="1"/>
    <col min="14104" max="14336" width="9.140625" style="29"/>
    <col min="14337" max="14337" width="2.7109375" style="29" customWidth="1"/>
    <col min="14338" max="14338" width="36.85546875" style="29" customWidth="1"/>
    <col min="14339" max="14339" width="0" style="29" hidden="1" customWidth="1"/>
    <col min="14340" max="14340" width="15.28515625" style="29" customWidth="1"/>
    <col min="14341" max="14341" width="16.7109375" style="29" customWidth="1"/>
    <col min="14342" max="14343" width="19.42578125" style="29" customWidth="1"/>
    <col min="14344" max="14344" width="13.7109375" style="29" customWidth="1"/>
    <col min="14345" max="14345" width="13.28515625" style="29" customWidth="1"/>
    <col min="14346" max="14346" width="3.85546875" style="29" customWidth="1"/>
    <col min="14347" max="14347" width="10.85546875" style="29" customWidth="1"/>
    <col min="14348" max="14348" width="10.28515625" style="29" customWidth="1"/>
    <col min="14349" max="14349" width="9.85546875" style="29" customWidth="1"/>
    <col min="14350" max="14350" width="10.5703125" style="29" customWidth="1"/>
    <col min="14351" max="14351" width="11.140625" style="29" customWidth="1"/>
    <col min="14352" max="14353" width="9.140625" style="29"/>
    <col min="14354" max="14354" width="44.42578125" style="29" customWidth="1"/>
    <col min="14355" max="14355" width="18" style="29" customWidth="1"/>
    <col min="14356" max="14356" width="12" style="29" customWidth="1"/>
    <col min="14357" max="14357" width="11.7109375" style="29" customWidth="1"/>
    <col min="14358" max="14358" width="11.28515625" style="29" customWidth="1"/>
    <col min="14359" max="14359" width="11.85546875" style="29" customWidth="1"/>
    <col min="14360" max="14592" width="9.140625" style="29"/>
    <col min="14593" max="14593" width="2.7109375" style="29" customWidth="1"/>
    <col min="14594" max="14594" width="36.85546875" style="29" customWidth="1"/>
    <col min="14595" max="14595" width="0" style="29" hidden="1" customWidth="1"/>
    <col min="14596" max="14596" width="15.28515625" style="29" customWidth="1"/>
    <col min="14597" max="14597" width="16.7109375" style="29" customWidth="1"/>
    <col min="14598" max="14599" width="19.42578125" style="29" customWidth="1"/>
    <col min="14600" max="14600" width="13.7109375" style="29" customWidth="1"/>
    <col min="14601" max="14601" width="13.28515625" style="29" customWidth="1"/>
    <col min="14602" max="14602" width="3.85546875" style="29" customWidth="1"/>
    <col min="14603" max="14603" width="10.85546875" style="29" customWidth="1"/>
    <col min="14604" max="14604" width="10.28515625" style="29" customWidth="1"/>
    <col min="14605" max="14605" width="9.85546875" style="29" customWidth="1"/>
    <col min="14606" max="14606" width="10.5703125" style="29" customWidth="1"/>
    <col min="14607" max="14607" width="11.140625" style="29" customWidth="1"/>
    <col min="14608" max="14609" width="9.140625" style="29"/>
    <col min="14610" max="14610" width="44.42578125" style="29" customWidth="1"/>
    <col min="14611" max="14611" width="18" style="29" customWidth="1"/>
    <col min="14612" max="14612" width="12" style="29" customWidth="1"/>
    <col min="14613" max="14613" width="11.7109375" style="29" customWidth="1"/>
    <col min="14614" max="14614" width="11.28515625" style="29" customWidth="1"/>
    <col min="14615" max="14615" width="11.85546875" style="29" customWidth="1"/>
    <col min="14616" max="14848" width="9.140625" style="29"/>
    <col min="14849" max="14849" width="2.7109375" style="29" customWidth="1"/>
    <col min="14850" max="14850" width="36.85546875" style="29" customWidth="1"/>
    <col min="14851" max="14851" width="0" style="29" hidden="1" customWidth="1"/>
    <col min="14852" max="14852" width="15.28515625" style="29" customWidth="1"/>
    <col min="14853" max="14853" width="16.7109375" style="29" customWidth="1"/>
    <col min="14854" max="14855" width="19.42578125" style="29" customWidth="1"/>
    <col min="14856" max="14856" width="13.7109375" style="29" customWidth="1"/>
    <col min="14857" max="14857" width="13.28515625" style="29" customWidth="1"/>
    <col min="14858" max="14858" width="3.85546875" style="29" customWidth="1"/>
    <col min="14859" max="14859" width="10.85546875" style="29" customWidth="1"/>
    <col min="14860" max="14860" width="10.28515625" style="29" customWidth="1"/>
    <col min="14861" max="14861" width="9.85546875" style="29" customWidth="1"/>
    <col min="14862" max="14862" width="10.5703125" style="29" customWidth="1"/>
    <col min="14863" max="14863" width="11.140625" style="29" customWidth="1"/>
    <col min="14864" max="14865" width="9.140625" style="29"/>
    <col min="14866" max="14866" width="44.42578125" style="29" customWidth="1"/>
    <col min="14867" max="14867" width="18" style="29" customWidth="1"/>
    <col min="14868" max="14868" width="12" style="29" customWidth="1"/>
    <col min="14869" max="14869" width="11.7109375" style="29" customWidth="1"/>
    <col min="14870" max="14870" width="11.28515625" style="29" customWidth="1"/>
    <col min="14871" max="14871" width="11.85546875" style="29" customWidth="1"/>
    <col min="14872" max="15104" width="9.140625" style="29"/>
    <col min="15105" max="15105" width="2.7109375" style="29" customWidth="1"/>
    <col min="15106" max="15106" width="36.85546875" style="29" customWidth="1"/>
    <col min="15107" max="15107" width="0" style="29" hidden="1" customWidth="1"/>
    <col min="15108" max="15108" width="15.28515625" style="29" customWidth="1"/>
    <col min="15109" max="15109" width="16.7109375" style="29" customWidth="1"/>
    <col min="15110" max="15111" width="19.42578125" style="29" customWidth="1"/>
    <col min="15112" max="15112" width="13.7109375" style="29" customWidth="1"/>
    <col min="15113" max="15113" width="13.28515625" style="29" customWidth="1"/>
    <col min="15114" max="15114" width="3.85546875" style="29" customWidth="1"/>
    <col min="15115" max="15115" width="10.85546875" style="29" customWidth="1"/>
    <col min="15116" max="15116" width="10.28515625" style="29" customWidth="1"/>
    <col min="15117" max="15117" width="9.85546875" style="29" customWidth="1"/>
    <col min="15118" max="15118" width="10.5703125" style="29" customWidth="1"/>
    <col min="15119" max="15119" width="11.140625" style="29" customWidth="1"/>
    <col min="15120" max="15121" width="9.140625" style="29"/>
    <col min="15122" max="15122" width="44.42578125" style="29" customWidth="1"/>
    <col min="15123" max="15123" width="18" style="29" customWidth="1"/>
    <col min="15124" max="15124" width="12" style="29" customWidth="1"/>
    <col min="15125" max="15125" width="11.7109375" style="29" customWidth="1"/>
    <col min="15126" max="15126" width="11.28515625" style="29" customWidth="1"/>
    <col min="15127" max="15127" width="11.85546875" style="29" customWidth="1"/>
    <col min="15128" max="15360" width="9.140625" style="29"/>
    <col min="15361" max="15361" width="2.7109375" style="29" customWidth="1"/>
    <col min="15362" max="15362" width="36.85546875" style="29" customWidth="1"/>
    <col min="15363" max="15363" width="0" style="29" hidden="1" customWidth="1"/>
    <col min="15364" max="15364" width="15.28515625" style="29" customWidth="1"/>
    <col min="15365" max="15365" width="16.7109375" style="29" customWidth="1"/>
    <col min="15366" max="15367" width="19.42578125" style="29" customWidth="1"/>
    <col min="15368" max="15368" width="13.7109375" style="29" customWidth="1"/>
    <col min="15369" max="15369" width="13.28515625" style="29" customWidth="1"/>
    <col min="15370" max="15370" width="3.85546875" style="29" customWidth="1"/>
    <col min="15371" max="15371" width="10.85546875" style="29" customWidth="1"/>
    <col min="15372" max="15372" width="10.28515625" style="29" customWidth="1"/>
    <col min="15373" max="15373" width="9.85546875" style="29" customWidth="1"/>
    <col min="15374" max="15374" width="10.5703125" style="29" customWidth="1"/>
    <col min="15375" max="15375" width="11.140625" style="29" customWidth="1"/>
    <col min="15376" max="15377" width="9.140625" style="29"/>
    <col min="15378" max="15378" width="44.42578125" style="29" customWidth="1"/>
    <col min="15379" max="15379" width="18" style="29" customWidth="1"/>
    <col min="15380" max="15380" width="12" style="29" customWidth="1"/>
    <col min="15381" max="15381" width="11.7109375" style="29" customWidth="1"/>
    <col min="15382" max="15382" width="11.28515625" style="29" customWidth="1"/>
    <col min="15383" max="15383" width="11.85546875" style="29" customWidth="1"/>
    <col min="15384" max="15616" width="9.140625" style="29"/>
    <col min="15617" max="15617" width="2.7109375" style="29" customWidth="1"/>
    <col min="15618" max="15618" width="36.85546875" style="29" customWidth="1"/>
    <col min="15619" max="15619" width="0" style="29" hidden="1" customWidth="1"/>
    <col min="15620" max="15620" width="15.28515625" style="29" customWidth="1"/>
    <col min="15621" max="15621" width="16.7109375" style="29" customWidth="1"/>
    <col min="15622" max="15623" width="19.42578125" style="29" customWidth="1"/>
    <col min="15624" max="15624" width="13.7109375" style="29" customWidth="1"/>
    <col min="15625" max="15625" width="13.28515625" style="29" customWidth="1"/>
    <col min="15626" max="15626" width="3.85546875" style="29" customWidth="1"/>
    <col min="15627" max="15627" width="10.85546875" style="29" customWidth="1"/>
    <col min="15628" max="15628" width="10.28515625" style="29" customWidth="1"/>
    <col min="15629" max="15629" width="9.85546875" style="29" customWidth="1"/>
    <col min="15630" max="15630" width="10.5703125" style="29" customWidth="1"/>
    <col min="15631" max="15631" width="11.140625" style="29" customWidth="1"/>
    <col min="15632" max="15633" width="9.140625" style="29"/>
    <col min="15634" max="15634" width="44.42578125" style="29" customWidth="1"/>
    <col min="15635" max="15635" width="18" style="29" customWidth="1"/>
    <col min="15636" max="15636" width="12" style="29" customWidth="1"/>
    <col min="15637" max="15637" width="11.7109375" style="29" customWidth="1"/>
    <col min="15638" max="15638" width="11.28515625" style="29" customWidth="1"/>
    <col min="15639" max="15639" width="11.85546875" style="29" customWidth="1"/>
    <col min="15640" max="15872" width="9.140625" style="29"/>
    <col min="15873" max="15873" width="2.7109375" style="29" customWidth="1"/>
    <col min="15874" max="15874" width="36.85546875" style="29" customWidth="1"/>
    <col min="15875" max="15875" width="0" style="29" hidden="1" customWidth="1"/>
    <col min="15876" max="15876" width="15.28515625" style="29" customWidth="1"/>
    <col min="15877" max="15877" width="16.7109375" style="29" customWidth="1"/>
    <col min="15878" max="15879" width="19.42578125" style="29" customWidth="1"/>
    <col min="15880" max="15880" width="13.7109375" style="29" customWidth="1"/>
    <col min="15881" max="15881" width="13.28515625" style="29" customWidth="1"/>
    <col min="15882" max="15882" width="3.85546875" style="29" customWidth="1"/>
    <col min="15883" max="15883" width="10.85546875" style="29" customWidth="1"/>
    <col min="15884" max="15884" width="10.28515625" style="29" customWidth="1"/>
    <col min="15885" max="15885" width="9.85546875" style="29" customWidth="1"/>
    <col min="15886" max="15886" width="10.5703125" style="29" customWidth="1"/>
    <col min="15887" max="15887" width="11.140625" style="29" customWidth="1"/>
    <col min="15888" max="15889" width="9.140625" style="29"/>
    <col min="15890" max="15890" width="44.42578125" style="29" customWidth="1"/>
    <col min="15891" max="15891" width="18" style="29" customWidth="1"/>
    <col min="15892" max="15892" width="12" style="29" customWidth="1"/>
    <col min="15893" max="15893" width="11.7109375" style="29" customWidth="1"/>
    <col min="15894" max="15894" width="11.28515625" style="29" customWidth="1"/>
    <col min="15895" max="15895" width="11.85546875" style="29" customWidth="1"/>
    <col min="15896" max="16128" width="9.140625" style="29"/>
    <col min="16129" max="16129" width="2.7109375" style="29" customWidth="1"/>
    <col min="16130" max="16130" width="36.85546875" style="29" customWidth="1"/>
    <col min="16131" max="16131" width="0" style="29" hidden="1" customWidth="1"/>
    <col min="16132" max="16132" width="15.28515625" style="29" customWidth="1"/>
    <col min="16133" max="16133" width="16.7109375" style="29" customWidth="1"/>
    <col min="16134" max="16135" width="19.42578125" style="29" customWidth="1"/>
    <col min="16136" max="16136" width="13.7109375" style="29" customWidth="1"/>
    <col min="16137" max="16137" width="13.28515625" style="29" customWidth="1"/>
    <col min="16138" max="16138" width="3.85546875" style="29" customWidth="1"/>
    <col min="16139" max="16139" width="10.85546875" style="29" customWidth="1"/>
    <col min="16140" max="16140" width="10.28515625" style="29" customWidth="1"/>
    <col min="16141" max="16141" width="9.85546875" style="29" customWidth="1"/>
    <col min="16142" max="16142" width="10.5703125" style="29" customWidth="1"/>
    <col min="16143" max="16143" width="11.140625" style="29" customWidth="1"/>
    <col min="16144" max="16145" width="9.140625" style="29"/>
    <col min="16146" max="16146" width="44.42578125" style="29" customWidth="1"/>
    <col min="16147" max="16147" width="18" style="29" customWidth="1"/>
    <col min="16148" max="16148" width="12" style="29" customWidth="1"/>
    <col min="16149" max="16149" width="11.7109375" style="29" customWidth="1"/>
    <col min="16150" max="16150" width="11.28515625" style="29" customWidth="1"/>
    <col min="16151" max="16151" width="11.85546875" style="29" customWidth="1"/>
    <col min="16152" max="16384" width="9.140625" style="29"/>
  </cols>
  <sheetData>
    <row r="1" spans="2:7" ht="23.25">
      <c r="B1" s="144" t="s">
        <v>433</v>
      </c>
    </row>
    <row r="3" spans="2:7">
      <c r="B3" s="70" t="s">
        <v>820</v>
      </c>
    </row>
    <row r="4" spans="2:7">
      <c r="B4" s="70" t="s">
        <v>810</v>
      </c>
    </row>
    <row r="5" spans="2:7" ht="13.5" thickBot="1">
      <c r="B5" s="148"/>
      <c r="C5" s="148"/>
      <c r="D5" s="148"/>
      <c r="E5" s="148"/>
      <c r="F5" s="1430" t="s">
        <v>580</v>
      </c>
      <c r="G5" s="1430"/>
    </row>
    <row r="6" spans="2:7" ht="12" thickBot="1">
      <c r="B6" s="33"/>
      <c r="C6" s="63"/>
      <c r="D6" s="1431" t="s">
        <v>811</v>
      </c>
      <c r="E6" s="1432"/>
      <c r="F6" s="1433" t="s">
        <v>812</v>
      </c>
      <c r="G6" s="1432"/>
    </row>
    <row r="7" spans="2:7" ht="12" thickBot="1">
      <c r="B7" s="60"/>
      <c r="C7" s="50"/>
      <c r="D7" s="564" t="s">
        <v>813</v>
      </c>
      <c r="E7" s="630" t="s">
        <v>814</v>
      </c>
      <c r="F7" s="630" t="s">
        <v>813</v>
      </c>
      <c r="G7" s="630" t="s">
        <v>814</v>
      </c>
    </row>
    <row r="8" spans="2:7" ht="12" thickBot="1">
      <c r="B8" s="694" t="s">
        <v>817</v>
      </c>
      <c r="C8" s="35"/>
      <c r="D8" s="71"/>
      <c r="E8" s="40"/>
      <c r="F8" s="71"/>
      <c r="G8" s="40"/>
    </row>
    <row r="9" spans="2:7" ht="12" thickBot="1">
      <c r="B9" s="17" t="s">
        <v>815</v>
      </c>
      <c r="C9" s="35"/>
      <c r="D9" s="162">
        <v>1000000000</v>
      </c>
      <c r="E9" s="231">
        <f>G9</f>
        <v>1000000000</v>
      </c>
      <c r="F9" s="163">
        <v>1000000000</v>
      </c>
      <c r="G9" s="231">
        <v>1000000000</v>
      </c>
    </row>
    <row r="10" spans="2:7">
      <c r="B10" s="65"/>
      <c r="C10" s="35"/>
      <c r="D10" s="164"/>
      <c r="E10" s="165"/>
      <c r="F10" s="164"/>
      <c r="G10" s="165"/>
    </row>
    <row r="11" spans="2:7" ht="12" thickBot="1">
      <c r="B11" s="694" t="s">
        <v>818</v>
      </c>
      <c r="C11" s="35"/>
      <c r="D11" s="164"/>
      <c r="E11" s="165"/>
      <c r="F11" s="164"/>
      <c r="G11" s="165"/>
    </row>
    <row r="12" spans="2:7" ht="12" thickBot="1">
      <c r="B12" s="72" t="s">
        <v>6</v>
      </c>
      <c r="C12" s="35"/>
      <c r="D12" s="162">
        <v>1000000000</v>
      </c>
      <c r="E12" s="231">
        <f>G16</f>
        <v>1000000000</v>
      </c>
      <c r="F12" s="163">
        <v>50000000</v>
      </c>
      <c r="G12" s="73">
        <v>500000000</v>
      </c>
    </row>
    <row r="13" spans="2:7" ht="12" thickBot="1">
      <c r="B13" s="72" t="s">
        <v>816</v>
      </c>
      <c r="C13" s="35"/>
      <c r="D13" s="166"/>
      <c r="E13" s="74"/>
      <c r="F13" s="167">
        <v>450000000</v>
      </c>
      <c r="G13" s="74"/>
    </row>
    <row r="14" spans="2:7" ht="12" thickBot="1">
      <c r="B14" s="72"/>
      <c r="C14" s="35"/>
      <c r="D14" s="166"/>
      <c r="E14" s="74"/>
      <c r="F14" s="167">
        <v>500000000</v>
      </c>
      <c r="G14" s="74">
        <v>500000000</v>
      </c>
    </row>
    <row r="15" spans="2:7" ht="12" thickBot="1">
      <c r="B15" s="72" t="s">
        <v>821</v>
      </c>
      <c r="C15" s="35"/>
      <c r="D15" s="166"/>
      <c r="E15" s="74"/>
      <c r="F15" s="74" t="s">
        <v>819</v>
      </c>
      <c r="G15" s="74"/>
    </row>
    <row r="16" spans="2:7" ht="12" thickBot="1">
      <c r="B16" s="75" t="s">
        <v>7</v>
      </c>
      <c r="C16" s="61"/>
      <c r="D16" s="168">
        <v>1000000000</v>
      </c>
      <c r="E16" s="232">
        <f>+E12+E13-E15</f>
        <v>1000000000</v>
      </c>
      <c r="F16" s="167">
        <v>1000000000</v>
      </c>
      <c r="G16" s="74">
        <f>+G12+G14-G15</f>
        <v>1000000000</v>
      </c>
    </row>
    <row r="18" spans="2:7" ht="23.25" hidden="1" customHeight="1">
      <c r="B18" s="1434" t="s">
        <v>827</v>
      </c>
      <c r="C18" s="1434"/>
      <c r="D18" s="1434"/>
      <c r="E18" s="1434"/>
      <c r="F18" s="1434"/>
      <c r="G18" s="1434"/>
    </row>
    <row r="19" spans="2:7" hidden="1"/>
    <row r="20" spans="2:7" ht="44.25" hidden="1" customHeight="1">
      <c r="B20" s="1435" t="s">
        <v>8</v>
      </c>
      <c r="C20" s="1435"/>
      <c r="D20" s="1435"/>
      <c r="E20" s="1435"/>
      <c r="F20" s="1435"/>
      <c r="G20" s="1435"/>
    </row>
    <row r="21" spans="2:7" hidden="1"/>
    <row r="22" spans="2:7" ht="17.25" hidden="1" customHeight="1">
      <c r="B22" s="1435" t="s">
        <v>822</v>
      </c>
      <c r="C22" s="1435"/>
      <c r="D22" s="1435"/>
      <c r="E22" s="1435"/>
      <c r="F22" s="1435"/>
      <c r="G22" s="1435"/>
    </row>
    <row r="23" spans="2:7" hidden="1"/>
    <row r="24" spans="2:7" ht="23.25" hidden="1" customHeight="1">
      <c r="B24" s="1437" t="s">
        <v>832</v>
      </c>
      <c r="C24" s="1437"/>
      <c r="D24" s="1437"/>
      <c r="E24" s="1437"/>
      <c r="F24" s="1437"/>
      <c r="G24" s="1437"/>
    </row>
    <row r="25" spans="2:7" hidden="1"/>
    <row r="26" spans="2:7" ht="14.25" hidden="1" customHeight="1">
      <c r="B26" s="1436" t="s">
        <v>833</v>
      </c>
      <c r="C26" s="1436"/>
      <c r="D26" s="1436"/>
      <c r="E26" s="1436"/>
      <c r="F26" s="1436"/>
      <c r="G26" s="1436"/>
    </row>
    <row r="27" spans="2:7" ht="14.25" hidden="1" customHeight="1">
      <c r="B27" s="683"/>
      <c r="C27" s="76"/>
      <c r="D27" s="76"/>
      <c r="E27" s="76"/>
      <c r="F27" s="76"/>
      <c r="G27" s="76"/>
    </row>
    <row r="28" spans="2:7" ht="14.25" hidden="1" customHeight="1">
      <c r="B28" s="1436" t="s">
        <v>834</v>
      </c>
      <c r="C28" s="1436"/>
      <c r="D28" s="1436"/>
      <c r="E28" s="1436"/>
      <c r="F28" s="1436"/>
      <c r="G28" s="1436"/>
    </row>
    <row r="29" spans="2:7" ht="14.25" hidden="1" customHeight="1">
      <c r="B29" s="683"/>
      <c r="C29" s="76"/>
      <c r="D29" s="76"/>
      <c r="E29" s="76"/>
      <c r="F29" s="76"/>
      <c r="G29" s="76"/>
    </row>
    <row r="30" spans="2:7" ht="14.25" hidden="1" customHeight="1">
      <c r="B30" s="1436" t="s">
        <v>835</v>
      </c>
      <c r="C30" s="1436"/>
      <c r="D30" s="1436"/>
      <c r="E30" s="1436"/>
      <c r="F30" s="1436"/>
      <c r="G30" s="1436"/>
    </row>
    <row r="31" spans="2:7" ht="14.25" hidden="1" customHeight="1">
      <c r="B31" s="683"/>
      <c r="C31" s="76"/>
      <c r="D31" s="76"/>
      <c r="E31" s="76"/>
      <c r="F31" s="76"/>
      <c r="G31" s="76"/>
    </row>
    <row r="32" spans="2:7" ht="14.25" hidden="1" customHeight="1">
      <c r="B32" s="1436" t="s">
        <v>836</v>
      </c>
      <c r="C32" s="1436"/>
      <c r="D32" s="1436"/>
      <c r="E32" s="1436"/>
      <c r="F32" s="1436"/>
      <c r="G32" s="1436"/>
    </row>
    <row r="33" spans="2:7" ht="14.25" hidden="1" customHeight="1">
      <c r="B33" s="683"/>
      <c r="C33" s="683"/>
      <c r="D33" s="683"/>
      <c r="E33" s="683"/>
      <c r="F33" s="683"/>
      <c r="G33" s="683"/>
    </row>
    <row r="34" spans="2:7" ht="14.25" hidden="1" customHeight="1">
      <c r="B34" s="1436" t="s">
        <v>837</v>
      </c>
      <c r="C34" s="1436"/>
      <c r="D34" s="1436"/>
      <c r="E34" s="1436"/>
      <c r="F34" s="1436"/>
      <c r="G34" s="1436"/>
    </row>
    <row r="35" spans="2:7" ht="14.25" hidden="1" customHeight="1">
      <c r="B35" s="683"/>
      <c r="C35" s="76"/>
      <c r="D35" s="76"/>
      <c r="E35" s="76"/>
      <c r="F35" s="76"/>
      <c r="G35" s="76"/>
    </row>
    <row r="36" spans="2:7" ht="14.25" hidden="1" customHeight="1">
      <c r="B36" s="1436" t="s">
        <v>838</v>
      </c>
      <c r="C36" s="1436"/>
      <c r="D36" s="1436"/>
      <c r="E36" s="1436"/>
      <c r="F36" s="1436"/>
      <c r="G36" s="1436"/>
    </row>
    <row r="37" spans="2:7" ht="14.25" hidden="1" customHeight="1">
      <c r="B37" s="683"/>
      <c r="C37" s="76"/>
      <c r="D37" s="76"/>
      <c r="E37" s="76"/>
      <c r="F37" s="76"/>
      <c r="G37" s="76"/>
    </row>
    <row r="38" spans="2:7" ht="14.25" hidden="1" customHeight="1">
      <c r="B38" s="1436" t="s">
        <v>839</v>
      </c>
      <c r="C38" s="1436"/>
      <c r="D38" s="1436"/>
      <c r="E38" s="1436"/>
      <c r="F38" s="1436"/>
      <c r="G38" s="1436"/>
    </row>
    <row r="40" spans="2:7">
      <c r="B40" s="70" t="s">
        <v>846</v>
      </c>
    </row>
    <row r="42" spans="2:7">
      <c r="B42" s="70" t="s">
        <v>840</v>
      </c>
    </row>
    <row r="43" spans="2:7" ht="15" customHeight="1" thickBot="1">
      <c r="F43" s="1430" t="s">
        <v>580</v>
      </c>
      <c r="G43" s="1430"/>
    </row>
    <row r="44" spans="2:7">
      <c r="B44" s="154"/>
      <c r="C44" s="149"/>
      <c r="D44" s="105" t="s">
        <v>841</v>
      </c>
      <c r="E44" s="105" t="s">
        <v>842</v>
      </c>
      <c r="F44" s="105" t="s">
        <v>923</v>
      </c>
      <c r="G44" s="145" t="s">
        <v>841</v>
      </c>
    </row>
    <row r="45" spans="2:7" ht="12" thickBot="1">
      <c r="B45" s="155"/>
      <c r="C45" s="150"/>
      <c r="D45" s="151" t="s">
        <v>847</v>
      </c>
      <c r="E45" s="152"/>
      <c r="F45" s="152"/>
      <c r="G45" s="153" t="s">
        <v>811</v>
      </c>
    </row>
    <row r="46" spans="2:7">
      <c r="B46" s="72" t="s">
        <v>843</v>
      </c>
      <c r="C46" s="35"/>
      <c r="D46" s="8">
        <v>688326</v>
      </c>
      <c r="E46" s="8"/>
      <c r="F46" s="8"/>
      <c r="G46" s="542">
        <f>+D46+E46-F46</f>
        <v>688326</v>
      </c>
    </row>
    <row r="47" spans="2:7">
      <c r="B47" s="72" t="s">
        <v>844</v>
      </c>
      <c r="C47" s="35"/>
      <c r="D47" s="8">
        <v>5881127248</v>
      </c>
      <c r="E47" s="8">
        <f>H54</f>
        <v>75000000</v>
      </c>
      <c r="F47" s="8"/>
      <c r="G47" s="542">
        <f>+D47+E47-F47</f>
        <v>5956127248</v>
      </c>
    </row>
    <row r="48" spans="2:7" ht="12" thickBot="1">
      <c r="B48" s="72"/>
      <c r="C48" s="35"/>
      <c r="D48" s="8"/>
      <c r="E48" s="8"/>
      <c r="F48" s="8"/>
      <c r="G48" s="542"/>
    </row>
    <row r="49" spans="2:9" ht="12" customHeight="1" thickBot="1">
      <c r="B49" s="79" t="s">
        <v>845</v>
      </c>
      <c r="C49" s="80"/>
      <c r="D49" s="23">
        <f>SUM(D46:D48)</f>
        <v>5881815574</v>
      </c>
      <c r="E49" s="608">
        <f>SUM(E46:E48)</f>
        <v>75000000</v>
      </c>
      <c r="F49" s="608">
        <f>SUM(F46:F48)</f>
        <v>0</v>
      </c>
      <c r="G49" s="569">
        <f>+D49+E49-F49</f>
        <v>5956815574</v>
      </c>
    </row>
    <row r="51" spans="2:9">
      <c r="B51" s="1" t="s">
        <v>848</v>
      </c>
    </row>
    <row r="52" spans="2:9" ht="12" thickBot="1">
      <c r="G52" s="1430" t="s">
        <v>580</v>
      </c>
      <c r="H52" s="1430"/>
    </row>
    <row r="53" spans="2:9" ht="35.25" customHeight="1" thickBot="1">
      <c r="B53" s="81"/>
      <c r="D53" s="85" t="s">
        <v>34</v>
      </c>
      <c r="E53" s="84" t="s">
        <v>849</v>
      </c>
      <c r="F53" s="84" t="s">
        <v>850</v>
      </c>
      <c r="G53" s="84" t="s">
        <v>851</v>
      </c>
      <c r="H53" s="84" t="s">
        <v>852</v>
      </c>
      <c r="I53" s="682" t="s">
        <v>35</v>
      </c>
    </row>
    <row r="54" spans="2:9">
      <c r="B54" s="104" t="s">
        <v>853</v>
      </c>
      <c r="D54" s="293">
        <v>6915530242</v>
      </c>
      <c r="E54" s="559">
        <v>707218066</v>
      </c>
      <c r="F54" s="465">
        <v>250000000</v>
      </c>
      <c r="G54" s="559">
        <v>40556250</v>
      </c>
      <c r="H54" s="465">
        <v>75000000</v>
      </c>
      <c r="I54" s="261">
        <f>+D54+E54-F54-G54-H54</f>
        <v>7257192058</v>
      </c>
    </row>
    <row r="55" spans="2:9" ht="12" thickBot="1">
      <c r="B55" s="78"/>
      <c r="D55" s="8"/>
      <c r="E55" s="269"/>
      <c r="F55" s="476"/>
      <c r="G55" s="269"/>
      <c r="H55" s="476"/>
      <c r="I55" s="263"/>
    </row>
    <row r="56" spans="2:9" ht="12" thickBot="1">
      <c r="B56" s="177" t="s">
        <v>854</v>
      </c>
      <c r="D56" s="11">
        <f>+D54</f>
        <v>6915530242</v>
      </c>
      <c r="E56" s="460">
        <f>+E54</f>
        <v>707218066</v>
      </c>
      <c r="F56" s="644">
        <f>+F54</f>
        <v>250000000</v>
      </c>
      <c r="G56" s="644">
        <f>+G54</f>
        <v>40556250</v>
      </c>
      <c r="H56" s="644">
        <f>+H54</f>
        <v>75000000</v>
      </c>
      <c r="I56" s="271">
        <f>+D56+E56-F56-G56-H56</f>
        <v>7257192058</v>
      </c>
    </row>
    <row r="57" spans="2:9" ht="12" thickBot="1">
      <c r="B57" s="77" t="s">
        <v>855</v>
      </c>
      <c r="D57" s="570">
        <f>D56+D49</f>
        <v>12797345816</v>
      </c>
      <c r="E57" s="680"/>
      <c r="F57" s="18"/>
      <c r="G57" s="680"/>
      <c r="H57" s="18"/>
      <c r="I57" s="12">
        <f>+I56+G49</f>
        <v>13214007632</v>
      </c>
    </row>
    <row r="59" spans="2:9">
      <c r="B59" s="1" t="s">
        <v>858</v>
      </c>
    </row>
    <row r="61" spans="2:9">
      <c r="B61" s="70" t="s">
        <v>861</v>
      </c>
    </row>
    <row r="62" spans="2:9" ht="12" thickBot="1">
      <c r="G62" s="1" t="s">
        <v>579</v>
      </c>
    </row>
    <row r="63" spans="2:9" ht="15.75" customHeight="1" thickBot="1">
      <c r="B63" s="64"/>
      <c r="C63" s="37"/>
      <c r="D63" s="1431" t="s">
        <v>811</v>
      </c>
      <c r="E63" s="1432"/>
      <c r="F63" s="1431" t="s">
        <v>812</v>
      </c>
      <c r="G63" s="1432"/>
    </row>
    <row r="64" spans="2:9">
      <c r="B64" s="128" t="s">
        <v>862</v>
      </c>
      <c r="C64" s="63"/>
      <c r="D64" s="65"/>
      <c r="E64" s="40"/>
      <c r="F64" s="35"/>
      <c r="G64" s="40"/>
    </row>
    <row r="65" spans="2:7">
      <c r="B65" s="692" t="s">
        <v>863</v>
      </c>
      <c r="C65" s="40"/>
      <c r="D65" s="17"/>
      <c r="E65" s="542"/>
      <c r="F65" s="695"/>
      <c r="G65" s="542"/>
    </row>
    <row r="66" spans="2:7">
      <c r="B66" s="112" t="s">
        <v>864</v>
      </c>
      <c r="C66" s="40"/>
      <c r="D66" s="555">
        <v>0</v>
      </c>
      <c r="E66" s="542"/>
      <c r="F66" s="529">
        <v>0</v>
      </c>
      <c r="G66" s="530"/>
    </row>
    <row r="67" spans="2:7" ht="12" thickBot="1">
      <c r="B67" s="112" t="s">
        <v>865</v>
      </c>
      <c r="C67" s="40"/>
      <c r="D67" s="532">
        <v>0</v>
      </c>
      <c r="E67" s="530">
        <f>+SUM(D66:D67)</f>
        <v>0</v>
      </c>
      <c r="F67" s="532">
        <v>0</v>
      </c>
      <c r="G67" s="530">
        <f>+SUM(F66:F67)</f>
        <v>0</v>
      </c>
    </row>
    <row r="68" spans="2:7">
      <c r="B68" s="113"/>
      <c r="C68" s="40"/>
      <c r="D68" s="555"/>
      <c r="E68" s="530"/>
      <c r="F68" s="529"/>
      <c r="G68" s="530"/>
    </row>
    <row r="69" spans="2:7">
      <c r="B69" s="692" t="s">
        <v>866</v>
      </c>
      <c r="C69" s="40"/>
      <c r="D69" s="555"/>
      <c r="E69" s="530"/>
      <c r="F69" s="529"/>
      <c r="G69" s="530"/>
    </row>
    <row r="70" spans="2:7">
      <c r="B70" s="112" t="s">
        <v>864</v>
      </c>
      <c r="C70" s="40"/>
      <c r="D70" s="555">
        <v>0</v>
      </c>
      <c r="E70" s="530"/>
      <c r="F70" s="529">
        <v>0</v>
      </c>
      <c r="G70" s="530"/>
    </row>
    <row r="71" spans="2:7" ht="12" thickBot="1">
      <c r="B71" s="112" t="s">
        <v>865</v>
      </c>
      <c r="C71" s="40"/>
      <c r="D71" s="532">
        <v>0</v>
      </c>
      <c r="E71" s="530">
        <f>+SUM(D70:D71)</f>
        <v>0</v>
      </c>
      <c r="F71" s="532">
        <v>0</v>
      </c>
      <c r="G71" s="530">
        <f>+SUM(F70:F71)</f>
        <v>0</v>
      </c>
    </row>
    <row r="72" spans="2:7">
      <c r="B72" s="113"/>
      <c r="C72" s="40"/>
      <c r="D72" s="555"/>
      <c r="E72" s="530"/>
      <c r="F72" s="529"/>
      <c r="G72" s="530"/>
    </row>
    <row r="73" spans="2:7">
      <c r="B73" s="129" t="s">
        <v>867</v>
      </c>
      <c r="C73" s="40"/>
      <c r="D73" s="555"/>
      <c r="E73" s="530"/>
      <c r="F73" s="529"/>
      <c r="G73" s="530"/>
    </row>
    <row r="74" spans="2:7">
      <c r="B74" s="112" t="s">
        <v>864</v>
      </c>
      <c r="C74" s="40"/>
      <c r="D74" s="555">
        <v>0</v>
      </c>
      <c r="E74" s="530"/>
      <c r="F74" s="529">
        <v>0</v>
      </c>
      <c r="G74" s="530"/>
    </row>
    <row r="75" spans="2:7" ht="12" thickBot="1">
      <c r="B75" s="112" t="s">
        <v>865</v>
      </c>
      <c r="C75" s="40"/>
      <c r="D75" s="532">
        <v>0</v>
      </c>
      <c r="E75" s="530">
        <f>+SUM(D74:D75)</f>
        <v>0</v>
      </c>
      <c r="F75" s="532">
        <v>0</v>
      </c>
      <c r="G75" s="530">
        <f>+SUM(F74:F75)</f>
        <v>0</v>
      </c>
    </row>
    <row r="76" spans="2:7">
      <c r="B76" s="112"/>
      <c r="C76" s="40"/>
      <c r="D76" s="555"/>
      <c r="E76" s="530"/>
      <c r="F76" s="529"/>
      <c r="G76" s="530"/>
    </row>
    <row r="77" spans="2:7">
      <c r="B77" s="129" t="s">
        <v>868</v>
      </c>
      <c r="C77" s="40"/>
      <c r="D77" s="555"/>
      <c r="E77" s="542"/>
      <c r="F77" s="529"/>
      <c r="G77" s="530"/>
    </row>
    <row r="78" spans="2:7">
      <c r="B78" s="112" t="s">
        <v>864</v>
      </c>
      <c r="C78" s="40"/>
      <c r="D78" s="555">
        <v>0</v>
      </c>
      <c r="E78" s="542"/>
      <c r="F78" s="529">
        <v>0</v>
      </c>
      <c r="G78" s="530"/>
    </row>
    <row r="79" spans="2:7" ht="12" thickBot="1">
      <c r="B79" s="112" t="s">
        <v>865</v>
      </c>
      <c r="C79" s="40"/>
      <c r="D79" s="544">
        <v>0</v>
      </c>
      <c r="E79" s="542">
        <f>+SUM(D78:D79)</f>
        <v>0</v>
      </c>
      <c r="F79" s="544">
        <v>0</v>
      </c>
      <c r="G79" s="542">
        <f>+SUM(F78:F79)</f>
        <v>0</v>
      </c>
    </row>
    <row r="80" spans="2:7">
      <c r="B80" s="113"/>
      <c r="C80" s="40"/>
      <c r="D80" s="17"/>
      <c r="E80" s="542"/>
      <c r="F80" s="695"/>
      <c r="G80" s="542"/>
    </row>
    <row r="81" spans="2:7" ht="15" customHeight="1">
      <c r="B81" s="129" t="s">
        <v>869</v>
      </c>
      <c r="C81" s="40"/>
      <c r="D81" s="17"/>
      <c r="E81" s="542"/>
      <c r="F81" s="695"/>
      <c r="G81" s="542"/>
    </row>
    <row r="82" spans="2:7">
      <c r="B82" s="112" t="s">
        <v>864</v>
      </c>
      <c r="C82" s="40"/>
      <c r="D82" s="555">
        <v>0</v>
      </c>
      <c r="E82" s="542"/>
      <c r="F82" s="529">
        <v>0</v>
      </c>
      <c r="G82" s="530"/>
    </row>
    <row r="83" spans="2:7" ht="12" thickBot="1">
      <c r="B83" s="112" t="s">
        <v>865</v>
      </c>
      <c r="C83" s="40"/>
      <c r="D83" s="532">
        <v>0</v>
      </c>
      <c r="E83" s="530">
        <f>+SUM(D82:D83)</f>
        <v>0</v>
      </c>
      <c r="F83" s="532">
        <v>0</v>
      </c>
      <c r="G83" s="530">
        <f>+SUM(F82:F83)</f>
        <v>0</v>
      </c>
    </row>
    <row r="84" spans="2:7">
      <c r="B84" s="113"/>
      <c r="C84" s="40"/>
      <c r="D84" s="555"/>
      <c r="E84" s="530"/>
      <c r="F84" s="529"/>
      <c r="G84" s="530"/>
    </row>
    <row r="85" spans="2:7">
      <c r="B85" s="129" t="s">
        <v>870</v>
      </c>
      <c r="C85" s="40"/>
      <c r="D85" s="555"/>
      <c r="E85" s="530"/>
      <c r="F85" s="529"/>
      <c r="G85" s="530"/>
    </row>
    <row r="86" spans="2:7">
      <c r="B86" s="112" t="s">
        <v>864</v>
      </c>
      <c r="C86" s="40"/>
      <c r="D86" s="555">
        <v>0</v>
      </c>
      <c r="E86" s="530"/>
      <c r="F86" s="529">
        <v>0</v>
      </c>
      <c r="G86" s="530"/>
    </row>
    <row r="87" spans="2:7" ht="12" thickBot="1">
      <c r="B87" s="112" t="s">
        <v>865</v>
      </c>
      <c r="C87" s="40"/>
      <c r="D87" s="532">
        <v>0</v>
      </c>
      <c r="E87" s="530">
        <f>+SUM(D86:D87)</f>
        <v>0</v>
      </c>
      <c r="F87" s="532">
        <v>0</v>
      </c>
      <c r="G87" s="530">
        <f>+SUM(F86:F87)</f>
        <v>0</v>
      </c>
    </row>
    <row r="88" spans="2:7">
      <c r="B88" s="113"/>
      <c r="C88" s="40"/>
      <c r="D88" s="555"/>
      <c r="E88" s="542"/>
      <c r="F88" s="529"/>
      <c r="G88" s="530"/>
    </row>
    <row r="89" spans="2:7">
      <c r="B89" s="130" t="s">
        <v>859</v>
      </c>
      <c r="C89" s="40"/>
      <c r="D89" s="555"/>
      <c r="E89" s="542"/>
      <c r="F89" s="529"/>
      <c r="G89" s="530"/>
    </row>
    <row r="90" spans="2:7">
      <c r="B90" s="112" t="s">
        <v>864</v>
      </c>
      <c r="C90" s="40"/>
      <c r="D90" s="555">
        <f>+D66+D70+D74+D78+D82+D86</f>
        <v>0</v>
      </c>
      <c r="E90" s="542"/>
      <c r="F90" s="555">
        <v>0</v>
      </c>
      <c r="G90" s="530"/>
    </row>
    <row r="91" spans="2:7" ht="12" thickBot="1">
      <c r="B91" s="112" t="s">
        <v>865</v>
      </c>
      <c r="C91" s="40"/>
      <c r="D91" s="17">
        <f>+D67+D71+D75+D79+D83+D87</f>
        <v>0</v>
      </c>
      <c r="E91" s="542">
        <f>+D90+D91</f>
        <v>0</v>
      </c>
      <c r="F91" s="17">
        <v>0</v>
      </c>
      <c r="G91" s="542">
        <f>+F90+F91</f>
        <v>0</v>
      </c>
    </row>
    <row r="92" spans="2:7" ht="12" thickBot="1">
      <c r="B92" s="93" t="s">
        <v>860</v>
      </c>
      <c r="C92" s="50"/>
      <c r="D92" s="545"/>
      <c r="E92" s="569">
        <f>+E91</f>
        <v>0</v>
      </c>
      <c r="F92" s="298"/>
      <c r="G92" s="569">
        <f>+G91</f>
        <v>0</v>
      </c>
    </row>
    <row r="94" spans="2:7" hidden="1">
      <c r="B94" s="70" t="s">
        <v>871</v>
      </c>
    </row>
    <row r="95" spans="2:7" hidden="1"/>
    <row r="96" spans="2:7" ht="25.5" hidden="1" customHeight="1">
      <c r="B96" s="1437" t="s">
        <v>872</v>
      </c>
      <c r="C96" s="1437"/>
      <c r="D96" s="1437"/>
      <c r="E96" s="1437"/>
      <c r="F96" s="1437"/>
      <c r="G96" s="1437"/>
    </row>
    <row r="97" spans="2:7" hidden="1"/>
    <row r="98" spans="2:7" hidden="1">
      <c r="B98" s="1436" t="s">
        <v>873</v>
      </c>
      <c r="C98" s="1436"/>
      <c r="D98" s="1436"/>
      <c r="E98" s="1436"/>
      <c r="F98" s="1436"/>
      <c r="G98" s="1436"/>
    </row>
    <row r="99" spans="2:7" hidden="1"/>
    <row r="100" spans="2:7" hidden="1">
      <c r="B100" s="1436" t="s">
        <v>874</v>
      </c>
      <c r="C100" s="1436"/>
      <c r="D100" s="1436"/>
      <c r="E100" s="1436"/>
      <c r="F100" s="1436"/>
      <c r="G100" s="1436"/>
    </row>
    <row r="102" spans="2:7">
      <c r="B102" s="1" t="s">
        <v>875</v>
      </c>
    </row>
    <row r="103" spans="2:7" ht="12" thickBot="1">
      <c r="G103" s="1" t="s">
        <v>579</v>
      </c>
    </row>
    <row r="104" spans="2:7" ht="12" thickBot="1">
      <c r="B104" s="33"/>
      <c r="C104" s="31"/>
      <c r="D104" s="1431" t="s">
        <v>811</v>
      </c>
      <c r="E104" s="1432"/>
      <c r="F104" s="1431" t="s">
        <v>812</v>
      </c>
      <c r="G104" s="1432"/>
    </row>
    <row r="105" spans="2:7">
      <c r="B105" s="72" t="s">
        <v>33</v>
      </c>
      <c r="C105" s="35"/>
      <c r="D105" s="88"/>
      <c r="E105" s="87"/>
      <c r="F105" s="88"/>
      <c r="G105" s="87"/>
    </row>
    <row r="106" spans="2:7">
      <c r="B106" s="72" t="s">
        <v>877</v>
      </c>
      <c r="C106" s="35"/>
      <c r="D106" s="133">
        <v>12857708</v>
      </c>
      <c r="E106" s="87"/>
      <c r="F106" s="133">
        <v>12857708</v>
      </c>
      <c r="G106" s="87"/>
    </row>
    <row r="107" spans="2:7" ht="12" thickBot="1">
      <c r="B107" s="72" t="s">
        <v>878</v>
      </c>
      <c r="C107" s="35"/>
      <c r="D107" s="607">
        <v>0</v>
      </c>
      <c r="E107" s="89">
        <f>+SUM(D106:D107)</f>
        <v>12857708</v>
      </c>
      <c r="F107" s="607">
        <v>0</v>
      </c>
      <c r="G107" s="89">
        <f>+SUM(F106:F107)</f>
        <v>12857708</v>
      </c>
    </row>
    <row r="108" spans="2:7">
      <c r="B108" s="72" t="s">
        <v>879</v>
      </c>
      <c r="C108" s="35"/>
      <c r="D108" s="72"/>
      <c r="E108" s="89"/>
      <c r="F108" s="72"/>
      <c r="G108" s="89"/>
    </row>
    <row r="109" spans="2:7">
      <c r="B109" s="327" t="s">
        <v>151</v>
      </c>
      <c r="C109" s="35"/>
      <c r="D109" s="133">
        <v>18743360</v>
      </c>
      <c r="E109" s="89"/>
      <c r="F109" s="133">
        <v>18743360</v>
      </c>
      <c r="G109" s="89"/>
    </row>
    <row r="110" spans="2:7" ht="12" thickBot="1">
      <c r="B110" s="327" t="s">
        <v>152</v>
      </c>
      <c r="C110" s="35"/>
      <c r="D110" s="229">
        <v>13210779</v>
      </c>
      <c r="E110" s="89">
        <f>+SUM(D109:D110)</f>
        <v>31954139</v>
      </c>
      <c r="F110" s="133">
        <v>12251470</v>
      </c>
      <c r="G110" s="89">
        <f>+SUM(F109:F110)</f>
        <v>30994830</v>
      </c>
    </row>
    <row r="111" spans="2:7" ht="12" thickBot="1">
      <c r="B111" s="509" t="s">
        <v>806</v>
      </c>
      <c r="C111" s="61"/>
      <c r="D111" s="75"/>
      <c r="E111" s="567">
        <f>+SUM(E106:E110)</f>
        <v>44811847</v>
      </c>
      <c r="F111" s="93"/>
      <c r="G111" s="567">
        <f>+SUM(G106:G110)</f>
        <v>43852538</v>
      </c>
    </row>
    <row r="113" spans="2:7" ht="22.5" customHeight="1">
      <c r="B113" s="1437" t="s">
        <v>881</v>
      </c>
      <c r="C113" s="1437"/>
      <c r="D113" s="1437"/>
      <c r="E113" s="1437"/>
      <c r="F113" s="1437"/>
      <c r="G113" s="1437"/>
    </row>
    <row r="115" spans="2:7">
      <c r="B115" s="70" t="s">
        <v>882</v>
      </c>
    </row>
    <row r="116" spans="2:7" ht="12" thickBot="1">
      <c r="G116" s="1" t="s">
        <v>579</v>
      </c>
    </row>
    <row r="117" spans="2:7" ht="12" thickBot="1">
      <c r="B117" s="81"/>
      <c r="C117" s="63"/>
      <c r="D117" s="1433" t="s">
        <v>811</v>
      </c>
      <c r="E117" s="1432"/>
      <c r="F117" s="1431" t="s">
        <v>812</v>
      </c>
      <c r="G117" s="1432"/>
    </row>
    <row r="118" spans="2:7">
      <c r="B118" s="72"/>
      <c r="C118" s="40"/>
      <c r="D118" s="88"/>
      <c r="E118" s="83"/>
      <c r="F118" s="91"/>
      <c r="G118" s="87"/>
    </row>
    <row r="119" spans="2:7">
      <c r="B119" s="684" t="s">
        <v>888</v>
      </c>
      <c r="C119" s="40"/>
      <c r="D119" s="72"/>
      <c r="E119" s="87"/>
      <c r="F119" s="90"/>
      <c r="G119" s="87"/>
    </row>
    <row r="120" spans="2:7">
      <c r="B120" s="361" t="s">
        <v>885</v>
      </c>
      <c r="C120" s="40"/>
      <c r="D120" s="133">
        <v>214727657</v>
      </c>
      <c r="E120" s="87"/>
      <c r="F120" s="182">
        <v>211286138</v>
      </c>
      <c r="G120" s="87"/>
    </row>
    <row r="121" spans="2:7">
      <c r="B121" s="361" t="s">
        <v>536</v>
      </c>
      <c r="C121" s="40"/>
      <c r="D121" s="133">
        <v>924777896</v>
      </c>
      <c r="E121" s="87"/>
      <c r="F121" s="182">
        <v>808281300</v>
      </c>
      <c r="G121" s="87"/>
    </row>
    <row r="122" spans="2:7">
      <c r="B122" s="361" t="s">
        <v>886</v>
      </c>
      <c r="C122" s="40"/>
      <c r="D122" s="133">
        <v>145757955</v>
      </c>
      <c r="E122" s="87"/>
      <c r="F122" s="182">
        <v>143600213</v>
      </c>
      <c r="G122" s="87"/>
    </row>
    <row r="123" spans="2:7">
      <c r="B123" s="361" t="s">
        <v>537</v>
      </c>
      <c r="C123" s="40"/>
      <c r="D123" s="133">
        <v>46151917</v>
      </c>
      <c r="E123" s="87"/>
      <c r="F123" s="182">
        <v>48516401</v>
      </c>
      <c r="G123" s="87"/>
    </row>
    <row r="124" spans="2:7">
      <c r="B124" s="361" t="s">
        <v>538</v>
      </c>
      <c r="C124" s="40"/>
      <c r="D124" s="133">
        <v>2378158</v>
      </c>
      <c r="E124" s="87"/>
      <c r="F124" s="182">
        <v>2648634</v>
      </c>
      <c r="G124" s="87"/>
    </row>
    <row r="125" spans="2:7" ht="12" thickBot="1">
      <c r="B125" s="361" t="s">
        <v>547</v>
      </c>
      <c r="C125" s="40"/>
      <c r="D125" s="229">
        <v>39920477</v>
      </c>
      <c r="E125" s="89">
        <f>+SUM(D120:D125)</f>
        <v>1373714060</v>
      </c>
      <c r="F125" s="229">
        <v>38055178</v>
      </c>
      <c r="G125" s="89">
        <f>+SUM(F120:F125)</f>
        <v>1252387864</v>
      </c>
    </row>
    <row r="126" spans="2:7">
      <c r="B126" s="684"/>
      <c r="C126" s="40"/>
      <c r="D126" s="72"/>
      <c r="E126" s="87"/>
      <c r="F126" s="90"/>
      <c r="G126" s="87"/>
    </row>
    <row r="127" spans="2:7">
      <c r="B127" s="684" t="s">
        <v>887</v>
      </c>
      <c r="C127" s="40"/>
      <c r="D127" s="72"/>
      <c r="E127" s="87"/>
      <c r="F127" s="90"/>
      <c r="G127" s="89"/>
    </row>
    <row r="128" spans="2:7">
      <c r="B128" s="72"/>
      <c r="C128" s="40"/>
      <c r="D128" s="72"/>
      <c r="E128" s="89"/>
      <c r="F128" s="90"/>
      <c r="G128" s="89"/>
    </row>
    <row r="129" spans="2:7" ht="12" thickBot="1">
      <c r="B129" s="509" t="s">
        <v>806</v>
      </c>
      <c r="C129" s="50"/>
      <c r="D129" s="75"/>
      <c r="E129" s="567">
        <f>SUM(E118:E128)</f>
        <v>1373714060</v>
      </c>
      <c r="F129" s="568"/>
      <c r="G129" s="567">
        <f>SUM(G118:G128)</f>
        <v>1252387864</v>
      </c>
    </row>
    <row r="131" spans="2:7">
      <c r="B131" s="70" t="s">
        <v>889</v>
      </c>
    </row>
    <row r="133" spans="2:7">
      <c r="B133" s="70" t="s">
        <v>890</v>
      </c>
    </row>
    <row r="134" spans="2:7" ht="12" thickBot="1">
      <c r="G134" s="1" t="s">
        <v>579</v>
      </c>
    </row>
    <row r="135" spans="2:7" ht="12" thickBot="1">
      <c r="B135" s="81"/>
      <c r="C135" s="63"/>
      <c r="D135" s="1433" t="s">
        <v>811</v>
      </c>
      <c r="E135" s="1432"/>
      <c r="F135" s="1431" t="s">
        <v>812</v>
      </c>
      <c r="G135" s="1432"/>
    </row>
    <row r="136" spans="2:7">
      <c r="B136" s="684" t="s">
        <v>143</v>
      </c>
      <c r="C136" s="40"/>
      <c r="D136" s="88"/>
      <c r="E136" s="83"/>
      <c r="F136" s="91"/>
      <c r="G136" s="87"/>
    </row>
    <row r="137" spans="2:7">
      <c r="B137" s="684" t="s">
        <v>891</v>
      </c>
      <c r="C137" s="40"/>
      <c r="D137" s="72"/>
      <c r="E137" s="87"/>
      <c r="F137" s="90"/>
      <c r="G137" s="87"/>
    </row>
    <row r="138" spans="2:7" ht="31.5">
      <c r="B138" s="119" t="s">
        <v>144</v>
      </c>
      <c r="C138" s="40"/>
      <c r="D138" s="133">
        <v>34298671831</v>
      </c>
      <c r="E138" s="87"/>
      <c r="F138" s="182">
        <v>50019921523</v>
      </c>
      <c r="G138" s="87"/>
    </row>
    <row r="139" spans="2:7" ht="12" thickBot="1">
      <c r="B139" s="119" t="s">
        <v>145</v>
      </c>
      <c r="C139" s="40"/>
      <c r="D139" s="607">
        <v>0</v>
      </c>
      <c r="E139" s="89">
        <f>+SUM(D138:D139)</f>
        <v>34298671831</v>
      </c>
      <c r="F139" s="229">
        <v>10814754729</v>
      </c>
      <c r="G139" s="89">
        <f>+SUM(F138:F139)</f>
        <v>60834676252</v>
      </c>
    </row>
    <row r="140" spans="2:7">
      <c r="B140" s="684"/>
      <c r="C140" s="40"/>
      <c r="D140" s="72"/>
      <c r="E140" s="87"/>
      <c r="F140" s="90"/>
      <c r="G140" s="87"/>
    </row>
    <row r="141" spans="2:7">
      <c r="B141" s="684" t="s">
        <v>887</v>
      </c>
      <c r="C141" s="40"/>
      <c r="D141" s="72"/>
      <c r="E141" s="604">
        <v>0</v>
      </c>
      <c r="F141" s="90"/>
      <c r="G141" s="604">
        <v>0</v>
      </c>
    </row>
    <row r="142" spans="2:7">
      <c r="B142" s="72"/>
      <c r="C142" s="40"/>
      <c r="D142" s="72"/>
      <c r="E142" s="89"/>
      <c r="F142" s="90"/>
      <c r="G142" s="89"/>
    </row>
    <row r="143" spans="2:7" ht="12" thickBot="1">
      <c r="B143" s="684"/>
      <c r="C143" s="40"/>
      <c r="D143" s="72"/>
      <c r="E143" s="89"/>
      <c r="F143" s="90"/>
      <c r="G143" s="89"/>
    </row>
    <row r="144" spans="2:7" ht="12" thickBot="1">
      <c r="B144" s="687" t="s">
        <v>806</v>
      </c>
      <c r="C144" s="37"/>
      <c r="D144" s="79"/>
      <c r="E144" s="566">
        <f>SUM(E137:E143)</f>
        <v>34298671831</v>
      </c>
      <c r="F144" s="157"/>
      <c r="G144" s="566">
        <f>SUM(G137:G143)</f>
        <v>60834676252</v>
      </c>
    </row>
    <row r="146" spans="2:8" hidden="1">
      <c r="B146" s="1436" t="s">
        <v>873</v>
      </c>
      <c r="C146" s="1436"/>
      <c r="D146" s="1436"/>
      <c r="E146" s="1436"/>
      <c r="F146" s="1436"/>
      <c r="G146" s="1436"/>
    </row>
    <row r="147" spans="2:8" hidden="1"/>
    <row r="148" spans="2:8" hidden="1">
      <c r="B148" s="1436" t="s">
        <v>874</v>
      </c>
      <c r="C148" s="1436"/>
      <c r="D148" s="1436"/>
      <c r="E148" s="1436"/>
      <c r="F148" s="1436"/>
      <c r="G148" s="1436"/>
    </row>
    <row r="150" spans="2:8">
      <c r="B150" s="70" t="s">
        <v>892</v>
      </c>
    </row>
    <row r="151" spans="2:8" ht="12" thickBot="1">
      <c r="G151" s="1" t="s">
        <v>579</v>
      </c>
    </row>
    <row r="152" spans="2:8" ht="12" thickBot="1">
      <c r="B152" s="81"/>
      <c r="C152" s="31"/>
      <c r="D152" s="1431" t="s">
        <v>811</v>
      </c>
      <c r="E152" s="1432"/>
      <c r="F152" s="1431" t="s">
        <v>812</v>
      </c>
      <c r="G152" s="1432"/>
    </row>
    <row r="153" spans="2:8">
      <c r="B153" s="684" t="s">
        <v>893</v>
      </c>
      <c r="C153" s="35"/>
      <c r="D153" s="88"/>
      <c r="E153" s="87"/>
      <c r="F153" s="88"/>
      <c r="G153" s="87"/>
    </row>
    <row r="154" spans="2:8">
      <c r="B154" s="72" t="s">
        <v>896</v>
      </c>
      <c r="C154" s="35"/>
      <c r="D154" s="133">
        <v>26419963598</v>
      </c>
      <c r="E154" s="87"/>
      <c r="F154" s="133">
        <v>25476544322</v>
      </c>
      <c r="G154" s="87"/>
    </row>
    <row r="155" spans="2:8" ht="12" thickBot="1">
      <c r="B155" s="72" t="s">
        <v>895</v>
      </c>
      <c r="C155" s="35"/>
      <c r="D155" s="607">
        <v>0</v>
      </c>
      <c r="E155" s="89">
        <f>+SUM(D154:D155)</f>
        <v>26419963598</v>
      </c>
      <c r="F155" s="607">
        <v>0</v>
      </c>
      <c r="G155" s="89">
        <f>+SUM(F154:F155)</f>
        <v>25476544322</v>
      </c>
      <c r="H155" s="29">
        <f>G111+G155</f>
        <v>25520396860</v>
      </c>
    </row>
    <row r="156" spans="2:8">
      <c r="B156" s="684" t="s">
        <v>894</v>
      </c>
      <c r="C156" s="35"/>
      <c r="D156" s="72"/>
      <c r="E156" s="89">
        <v>6576113356</v>
      </c>
      <c r="F156" s="72"/>
      <c r="G156" s="89">
        <v>9426105052</v>
      </c>
    </row>
    <row r="157" spans="2:8">
      <c r="B157" s="72"/>
      <c r="C157" s="35"/>
      <c r="D157" s="72"/>
      <c r="E157" s="89"/>
      <c r="F157" s="72"/>
      <c r="G157" s="89"/>
    </row>
    <row r="158" spans="2:8" ht="12" thickBot="1">
      <c r="B158" s="510" t="s">
        <v>806</v>
      </c>
      <c r="C158" s="158"/>
      <c r="D158" s="159"/>
      <c r="E158" s="567">
        <f>+E155+E156</f>
        <v>32996076954</v>
      </c>
      <c r="F158" s="159"/>
      <c r="G158" s="567">
        <f>+G155+G156</f>
        <v>34902649374</v>
      </c>
    </row>
    <row r="160" spans="2:8" ht="35.25" hidden="1" customHeight="1">
      <c r="B160" s="1437" t="s">
        <v>897</v>
      </c>
      <c r="C160" s="1437"/>
      <c r="D160" s="1437"/>
      <c r="E160" s="1437"/>
      <c r="F160" s="1437"/>
      <c r="G160" s="1437"/>
    </row>
    <row r="161" spans="2:7" hidden="1"/>
    <row r="162" spans="2:7" ht="22.5" hidden="1" customHeight="1">
      <c r="B162" s="1437" t="s">
        <v>898</v>
      </c>
      <c r="C162" s="1437"/>
      <c r="D162" s="1437"/>
      <c r="E162" s="1437"/>
      <c r="F162" s="1437"/>
      <c r="G162" s="1437"/>
    </row>
    <row r="164" spans="2:7">
      <c r="B164" s="70" t="s">
        <v>899</v>
      </c>
    </row>
    <row r="165" spans="2:7" ht="12" thickBot="1">
      <c r="G165" s="1" t="s">
        <v>579</v>
      </c>
    </row>
    <row r="166" spans="2:7" ht="12" thickBot="1">
      <c r="B166" s="160"/>
      <c r="C166" s="31"/>
      <c r="D166" s="1431" t="s">
        <v>811</v>
      </c>
      <c r="E166" s="1432"/>
      <c r="F166" s="1431" t="s">
        <v>812</v>
      </c>
      <c r="G166" s="1432"/>
    </row>
    <row r="167" spans="2:7" ht="12" customHeight="1">
      <c r="B167" s="119" t="s">
        <v>828</v>
      </c>
      <c r="C167" s="40"/>
      <c r="D167" s="351"/>
      <c r="E167" s="233">
        <v>229257204</v>
      </c>
      <c r="F167" s="351"/>
      <c r="G167" s="233">
        <v>156349362</v>
      </c>
    </row>
    <row r="168" spans="2:7" ht="21.75">
      <c r="B168" s="119" t="s">
        <v>829</v>
      </c>
      <c r="C168" s="40"/>
      <c r="D168" s="327"/>
      <c r="E168" s="233">
        <v>1444353</v>
      </c>
      <c r="F168" s="327"/>
      <c r="G168" s="233">
        <v>632241</v>
      </c>
    </row>
    <row r="169" spans="2:7">
      <c r="B169" s="119" t="s">
        <v>830</v>
      </c>
      <c r="C169" s="40"/>
      <c r="D169" s="327"/>
      <c r="E169" s="604">
        <v>0</v>
      </c>
      <c r="F169" s="606"/>
      <c r="G169" s="604">
        <v>0</v>
      </c>
    </row>
    <row r="170" spans="2:7">
      <c r="B170" s="119" t="s">
        <v>831</v>
      </c>
      <c r="C170" s="40"/>
      <c r="D170" s="327"/>
      <c r="E170" s="233"/>
      <c r="F170" s="327"/>
      <c r="G170" s="233"/>
    </row>
    <row r="171" spans="2:7">
      <c r="B171" s="1438" t="s">
        <v>578</v>
      </c>
      <c r="C171" s="1439"/>
      <c r="D171" s="354">
        <v>88618445</v>
      </c>
      <c r="E171" s="233"/>
      <c r="F171" s="354">
        <v>77340026</v>
      </c>
      <c r="G171" s="233"/>
    </row>
    <row r="172" spans="2:7">
      <c r="B172" s="1440" t="s">
        <v>372</v>
      </c>
      <c r="C172" s="1441"/>
      <c r="D172" s="354">
        <v>596917379</v>
      </c>
      <c r="E172" s="233"/>
      <c r="F172" s="354">
        <v>6818077387</v>
      </c>
      <c r="G172" s="233"/>
    </row>
    <row r="173" spans="2:7">
      <c r="B173" s="685" t="s">
        <v>175</v>
      </c>
      <c r="C173" s="686"/>
      <c r="D173" s="354">
        <v>54430</v>
      </c>
      <c r="E173" s="233"/>
      <c r="F173" s="354">
        <v>0</v>
      </c>
      <c r="G173" s="233"/>
    </row>
    <row r="174" spans="2:7">
      <c r="B174" s="1440" t="s">
        <v>373</v>
      </c>
      <c r="C174" s="1441"/>
      <c r="D174" s="354">
        <v>35755326</v>
      </c>
      <c r="E174" s="233"/>
      <c r="F174" s="354">
        <v>31665230</v>
      </c>
      <c r="G174" s="233"/>
    </row>
    <row r="175" spans="2:7">
      <c r="B175" s="1440" t="s">
        <v>374</v>
      </c>
      <c r="C175" s="1441"/>
      <c r="D175" s="354">
        <v>88796639</v>
      </c>
      <c r="E175" s="233"/>
      <c r="F175" s="354">
        <v>116496121</v>
      </c>
      <c r="G175" s="233"/>
    </row>
    <row r="176" spans="2:7">
      <c r="B176" s="1440" t="s">
        <v>375</v>
      </c>
      <c r="C176" s="1441"/>
      <c r="D176" s="354">
        <v>1546871850</v>
      </c>
      <c r="E176" s="233"/>
      <c r="F176" s="354">
        <v>684669010</v>
      </c>
      <c r="G176" s="233"/>
    </row>
    <row r="177" spans="2:7">
      <c r="B177" s="1440" t="s">
        <v>376</v>
      </c>
      <c r="C177" s="1441"/>
      <c r="D177" s="354">
        <v>1105726104</v>
      </c>
      <c r="E177" s="233"/>
      <c r="F177" s="354">
        <v>640161510</v>
      </c>
      <c r="G177" s="233"/>
    </row>
    <row r="178" spans="2:7">
      <c r="B178" s="1440" t="s">
        <v>377</v>
      </c>
      <c r="C178" s="1441"/>
      <c r="D178" s="354">
        <v>815002470</v>
      </c>
      <c r="E178" s="233"/>
      <c r="F178" s="354">
        <v>1240083317</v>
      </c>
      <c r="G178" s="233"/>
    </row>
    <row r="179" spans="2:7">
      <c r="B179" s="1440" t="s">
        <v>378</v>
      </c>
      <c r="C179" s="1441"/>
      <c r="D179" s="354">
        <v>24059694038</v>
      </c>
      <c r="E179" s="233"/>
      <c r="F179" s="354">
        <v>32130966569</v>
      </c>
      <c r="G179" s="233"/>
    </row>
    <row r="180" spans="2:7">
      <c r="B180" s="1440" t="s">
        <v>379</v>
      </c>
      <c r="C180" s="1441"/>
      <c r="D180" s="354">
        <v>61681713</v>
      </c>
      <c r="E180" s="233"/>
      <c r="F180" s="354">
        <v>59602693</v>
      </c>
      <c r="G180" s="233"/>
    </row>
    <row r="181" spans="2:7">
      <c r="B181" s="1440" t="s">
        <v>380</v>
      </c>
      <c r="C181" s="1441"/>
      <c r="D181" s="354">
        <v>133384329</v>
      </c>
      <c r="E181" s="233"/>
      <c r="F181" s="354">
        <v>203253540</v>
      </c>
      <c r="G181" s="233"/>
    </row>
    <row r="182" spans="2:7">
      <c r="B182" s="1440" t="s">
        <v>388</v>
      </c>
      <c r="C182" s="1441"/>
      <c r="D182" s="354">
        <v>0</v>
      </c>
      <c r="E182" s="233"/>
      <c r="F182" s="354">
        <v>0</v>
      </c>
      <c r="G182" s="233"/>
    </row>
    <row r="183" spans="2:7" ht="21">
      <c r="B183" s="685" t="s">
        <v>13</v>
      </c>
      <c r="C183" s="686"/>
      <c r="D183" s="354">
        <v>9941277057</v>
      </c>
      <c r="E183" s="233"/>
      <c r="F183" s="354">
        <v>21584976027</v>
      </c>
      <c r="G183" s="233"/>
    </row>
    <row r="184" spans="2:7" ht="12" thickBot="1">
      <c r="B184" s="1440" t="s">
        <v>389</v>
      </c>
      <c r="C184" s="1441"/>
      <c r="D184" s="355">
        <v>3672105460</v>
      </c>
      <c r="E184" s="233">
        <f>SUM(D171:D184)</f>
        <v>42145885240</v>
      </c>
      <c r="F184" s="355">
        <v>16972365598</v>
      </c>
      <c r="G184" s="233">
        <f>SUM(F171:F184)</f>
        <v>80559657028</v>
      </c>
    </row>
    <row r="185" spans="2:7">
      <c r="B185" s="1440"/>
      <c r="C185" s="1441"/>
      <c r="D185" s="327"/>
      <c r="E185" s="233"/>
      <c r="F185" s="327"/>
      <c r="G185" s="233"/>
    </row>
    <row r="186" spans="2:7" ht="14.25" hidden="1" customHeight="1">
      <c r="B186" s="685" t="s">
        <v>13</v>
      </c>
      <c r="C186" s="690"/>
      <c r="D186" s="354">
        <v>0</v>
      </c>
      <c r="E186" s="233"/>
      <c r="F186" s="354">
        <v>0</v>
      </c>
      <c r="G186" s="233"/>
    </row>
    <row r="187" spans="2:7" ht="21.75" hidden="1" thickBot="1">
      <c r="B187" s="685" t="s">
        <v>14</v>
      </c>
      <c r="C187" s="308"/>
      <c r="D187" s="355">
        <v>0</v>
      </c>
      <c r="E187" s="604">
        <f>D186-D187</f>
        <v>0</v>
      </c>
      <c r="F187" s="355">
        <v>0</v>
      </c>
      <c r="G187" s="604">
        <f>F186-F187</f>
        <v>0</v>
      </c>
    </row>
    <row r="188" spans="2:7">
      <c r="B188" s="511"/>
      <c r="C188" s="35"/>
      <c r="D188" s="327"/>
      <c r="E188" s="233"/>
      <c r="F188" s="327"/>
      <c r="G188" s="233"/>
    </row>
    <row r="189" spans="2:7" ht="12" thickBot="1">
      <c r="B189" s="509" t="s">
        <v>806</v>
      </c>
      <c r="C189" s="61"/>
      <c r="D189" s="235"/>
      <c r="E189" s="571">
        <f>+SUM(E167:E188)</f>
        <v>42376586797</v>
      </c>
      <c r="F189" s="349"/>
      <c r="G189" s="571">
        <f>+SUM(G167:G188)</f>
        <v>80716638631</v>
      </c>
    </row>
    <row r="191" spans="2:7">
      <c r="B191" s="70" t="s">
        <v>900</v>
      </c>
    </row>
    <row r="192" spans="2:7" ht="12" thickBot="1">
      <c r="G192" s="1" t="s">
        <v>579</v>
      </c>
    </row>
    <row r="193" spans="2:7" ht="12" thickBot="1">
      <c r="B193" s="170"/>
      <c r="C193" s="37"/>
      <c r="D193" s="1431" t="s">
        <v>811</v>
      </c>
      <c r="E193" s="1432"/>
      <c r="F193" s="1431" t="s">
        <v>812</v>
      </c>
      <c r="G193" s="1432"/>
    </row>
    <row r="194" spans="2:7">
      <c r="B194" s="94" t="s">
        <v>901</v>
      </c>
      <c r="C194" s="31"/>
      <c r="D194" s="88"/>
      <c r="E194" s="83"/>
      <c r="F194" s="91"/>
      <c r="G194" s="83"/>
    </row>
    <row r="195" spans="2:7">
      <c r="B195" s="169" t="s">
        <v>168</v>
      </c>
      <c r="C195" s="35"/>
      <c r="D195" s="133">
        <v>110469522</v>
      </c>
      <c r="E195" s="87"/>
      <c r="F195" s="182">
        <v>200921561</v>
      </c>
      <c r="G195" s="87"/>
    </row>
    <row r="196" spans="2:7">
      <c r="B196" s="169" t="s">
        <v>166</v>
      </c>
      <c r="C196" s="35"/>
      <c r="D196" s="133">
        <v>25319865</v>
      </c>
      <c r="E196" s="87"/>
      <c r="F196" s="182">
        <v>19586360</v>
      </c>
      <c r="G196" s="87"/>
    </row>
    <row r="197" spans="2:7">
      <c r="B197" s="169" t="s">
        <v>164</v>
      </c>
      <c r="C197" s="35"/>
      <c r="D197" s="133">
        <v>57221377</v>
      </c>
      <c r="E197" s="87"/>
      <c r="F197" s="182">
        <v>50529144</v>
      </c>
      <c r="G197" s="87"/>
    </row>
    <row r="198" spans="2:7">
      <c r="B198" s="169" t="s">
        <v>165</v>
      </c>
      <c r="C198" s="35"/>
      <c r="D198" s="133">
        <v>15160390</v>
      </c>
      <c r="E198" s="87"/>
      <c r="F198" s="182">
        <v>10401126</v>
      </c>
      <c r="G198" s="87"/>
    </row>
    <row r="199" spans="2:7">
      <c r="B199" s="169" t="s">
        <v>154</v>
      </c>
      <c r="C199" s="35"/>
      <c r="D199" s="605">
        <v>0</v>
      </c>
      <c r="E199" s="87"/>
      <c r="F199" s="182">
        <v>27178573</v>
      </c>
      <c r="G199" s="87"/>
    </row>
    <row r="200" spans="2:7">
      <c r="B200" s="169" t="s">
        <v>155</v>
      </c>
      <c r="C200" s="35"/>
      <c r="D200" s="133">
        <v>287552567</v>
      </c>
      <c r="E200" s="87"/>
      <c r="F200" s="182">
        <v>220572634</v>
      </c>
      <c r="G200" s="87"/>
    </row>
    <row r="201" spans="2:7">
      <c r="B201" s="119" t="s">
        <v>156</v>
      </c>
      <c r="C201" s="35"/>
      <c r="D201" s="133">
        <v>7062190</v>
      </c>
      <c r="E201" s="87"/>
      <c r="F201" s="182">
        <v>5014132</v>
      </c>
      <c r="G201" s="87"/>
    </row>
    <row r="202" spans="2:7">
      <c r="B202" s="119" t="s">
        <v>157</v>
      </c>
      <c r="C202" s="35"/>
      <c r="D202" s="133">
        <v>285286</v>
      </c>
      <c r="E202" s="87"/>
      <c r="F202" s="182">
        <v>231746</v>
      </c>
      <c r="G202" s="87"/>
    </row>
    <row r="203" spans="2:7">
      <c r="B203" s="169" t="s">
        <v>158</v>
      </c>
      <c r="C203" s="35"/>
      <c r="D203" s="133">
        <v>4290354</v>
      </c>
      <c r="E203" s="87"/>
      <c r="F203" s="182">
        <v>3845919</v>
      </c>
      <c r="G203" s="87"/>
    </row>
    <row r="204" spans="2:7">
      <c r="B204" s="236" t="s">
        <v>100</v>
      </c>
      <c r="C204" s="35"/>
      <c r="D204" s="605">
        <v>0</v>
      </c>
      <c r="E204" s="87"/>
      <c r="F204" s="632">
        <v>0</v>
      </c>
      <c r="G204" s="87"/>
    </row>
    <row r="205" spans="2:7" ht="12" thickBot="1">
      <c r="B205" s="119"/>
      <c r="C205" s="35"/>
      <c r="D205" s="75"/>
      <c r="E205" s="89">
        <f>+SUM(D195:D205)</f>
        <v>507361551</v>
      </c>
      <c r="F205" s="229"/>
      <c r="G205" s="89">
        <f>+SUM(F195:F205)</f>
        <v>538281195</v>
      </c>
    </row>
    <row r="206" spans="2:7">
      <c r="B206" s="72"/>
      <c r="C206" s="35"/>
      <c r="D206" s="72"/>
      <c r="E206" s="87"/>
      <c r="F206" s="90"/>
      <c r="G206" s="87"/>
    </row>
    <row r="207" spans="2:7">
      <c r="B207" s="684" t="s">
        <v>887</v>
      </c>
      <c r="C207" s="35"/>
      <c r="D207" s="72"/>
      <c r="E207" s="87"/>
      <c r="F207" s="90"/>
      <c r="G207" s="87"/>
    </row>
    <row r="208" spans="2:7">
      <c r="B208" s="169" t="s">
        <v>159</v>
      </c>
      <c r="C208" s="35"/>
      <c r="D208" s="133">
        <v>1324840781</v>
      </c>
      <c r="E208" s="87"/>
      <c r="F208" s="182">
        <v>1912531736</v>
      </c>
      <c r="G208" s="87"/>
    </row>
    <row r="209" spans="2:8">
      <c r="B209" s="169" t="s">
        <v>161</v>
      </c>
      <c r="C209" s="35"/>
      <c r="D209" s="605">
        <v>250000000</v>
      </c>
      <c r="E209" s="89"/>
      <c r="F209" s="182">
        <v>250000000</v>
      </c>
      <c r="G209" s="89"/>
    </row>
    <row r="210" spans="2:8">
      <c r="B210" s="169" t="s">
        <v>162</v>
      </c>
      <c r="C210" s="35"/>
      <c r="D210" s="605">
        <v>40556250</v>
      </c>
      <c r="E210" s="89"/>
      <c r="F210" s="182">
        <v>40556250</v>
      </c>
      <c r="G210" s="89"/>
    </row>
    <row r="211" spans="2:8" ht="10.9" customHeight="1">
      <c r="B211" s="169" t="s">
        <v>163</v>
      </c>
      <c r="C211" s="35"/>
      <c r="D211" s="605">
        <v>0</v>
      </c>
      <c r="E211" s="40"/>
      <c r="F211" s="182">
        <v>5315465</v>
      </c>
      <c r="G211" s="40"/>
    </row>
    <row r="212" spans="2:8" ht="12" thickBot="1">
      <c r="B212" s="169" t="s">
        <v>160</v>
      </c>
      <c r="C212" s="35"/>
      <c r="D212" s="60">
        <v>722242</v>
      </c>
      <c r="E212" s="40">
        <f>+SUM(D208:D212)</f>
        <v>1616119273</v>
      </c>
      <c r="F212" s="230">
        <v>967226</v>
      </c>
      <c r="G212" s="40">
        <f>+SUM(F207:F212)</f>
        <v>2209370677</v>
      </c>
    </row>
    <row r="213" spans="2:8">
      <c r="B213" s="95"/>
      <c r="C213" s="35"/>
      <c r="D213" s="33"/>
      <c r="E213" s="40"/>
      <c r="F213" s="33"/>
      <c r="G213" s="40"/>
    </row>
    <row r="214" spans="2:8" ht="12" thickBot="1">
      <c r="B214" s="512" t="s">
        <v>806</v>
      </c>
      <c r="C214" s="61"/>
      <c r="D214" s="60"/>
      <c r="E214" s="573">
        <f>+E205+E212</f>
        <v>2123480824</v>
      </c>
      <c r="F214" s="678"/>
      <c r="G214" s="573">
        <f>+G205+G212</f>
        <v>2747651872</v>
      </c>
    </row>
    <row r="216" spans="2:8">
      <c r="B216" s="1" t="s">
        <v>902</v>
      </c>
    </row>
    <row r="218" spans="2:8">
      <c r="B218" s="1" t="s">
        <v>903</v>
      </c>
    </row>
    <row r="220" spans="2:8">
      <c r="B220" s="70" t="s">
        <v>904</v>
      </c>
    </row>
    <row r="221" spans="2:8" ht="13.5" customHeight="1" thickBot="1">
      <c r="G221" s="1442" t="s">
        <v>247</v>
      </c>
      <c r="H221" s="1442"/>
    </row>
    <row r="222" spans="2:8" ht="12" thickBot="1">
      <c r="B222" s="172" t="s">
        <v>905</v>
      </c>
      <c r="D222" s="98" t="s">
        <v>847</v>
      </c>
      <c r="E222" s="99" t="s">
        <v>906</v>
      </c>
      <c r="F222" s="97" t="s">
        <v>908</v>
      </c>
      <c r="G222" s="310" t="s">
        <v>907</v>
      </c>
      <c r="H222" s="99" t="s">
        <v>811</v>
      </c>
    </row>
    <row r="223" spans="2:8">
      <c r="B223" s="104" t="s">
        <v>910</v>
      </c>
      <c r="D223" s="71"/>
      <c r="E223" s="82"/>
      <c r="F223" s="91"/>
      <c r="G223" s="88"/>
      <c r="H223" s="139">
        <f t="shared" ref="H223:H259" si="0">+D223+E223+F223-G223</f>
        <v>0</v>
      </c>
    </row>
    <row r="224" spans="2:8">
      <c r="B224" s="309" t="s">
        <v>392</v>
      </c>
      <c r="D224" s="8">
        <v>3659111</v>
      </c>
      <c r="E224" s="587">
        <v>0</v>
      </c>
      <c r="F224" s="587">
        <v>0</v>
      </c>
      <c r="G224" s="587">
        <v>0</v>
      </c>
      <c r="H224" s="139">
        <f t="shared" si="0"/>
        <v>3659111</v>
      </c>
    </row>
    <row r="225" spans="2:8">
      <c r="B225" s="309" t="s">
        <v>393</v>
      </c>
      <c r="D225" s="8">
        <v>1332631</v>
      </c>
      <c r="E225" s="587">
        <v>0</v>
      </c>
      <c r="F225" s="587">
        <v>0</v>
      </c>
      <c r="G225" s="587">
        <v>0</v>
      </c>
      <c r="H225" s="139">
        <f t="shared" si="0"/>
        <v>1332631</v>
      </c>
    </row>
    <row r="226" spans="2:8">
      <c r="B226" s="309"/>
      <c r="D226" s="8"/>
      <c r="E226" s="587"/>
      <c r="F226" s="587"/>
      <c r="G226" s="587"/>
      <c r="H226" s="139"/>
    </row>
    <row r="227" spans="2:8">
      <c r="B227" s="78" t="s">
        <v>911</v>
      </c>
      <c r="D227" s="8"/>
      <c r="E227" s="587"/>
      <c r="F227" s="587"/>
      <c r="G227" s="587"/>
      <c r="H227" s="139"/>
    </row>
    <row r="228" spans="2:8">
      <c r="B228" s="309" t="s">
        <v>392</v>
      </c>
      <c r="D228" s="8">
        <v>40135404</v>
      </c>
      <c r="E228" s="587">
        <v>0</v>
      </c>
      <c r="F228" s="587">
        <v>0</v>
      </c>
      <c r="G228" s="587">
        <v>0</v>
      </c>
      <c r="H228" s="139">
        <f t="shared" si="0"/>
        <v>40135404</v>
      </c>
    </row>
    <row r="229" spans="2:8">
      <c r="B229" s="309" t="s">
        <v>393</v>
      </c>
      <c r="D229" s="8">
        <v>2670348</v>
      </c>
      <c r="E229" s="587">
        <v>0</v>
      </c>
      <c r="F229" s="587">
        <v>0</v>
      </c>
      <c r="G229" s="587">
        <v>0</v>
      </c>
      <c r="H229" s="139">
        <f t="shared" si="0"/>
        <v>2670348</v>
      </c>
    </row>
    <row r="230" spans="2:8">
      <c r="B230" s="78"/>
      <c r="D230" s="8"/>
      <c r="E230" s="587"/>
      <c r="F230" s="587"/>
      <c r="G230" s="8"/>
      <c r="H230" s="139"/>
    </row>
    <row r="231" spans="2:8">
      <c r="B231" s="78" t="s">
        <v>912</v>
      </c>
      <c r="D231" s="8"/>
      <c r="E231" s="587"/>
      <c r="F231" s="587"/>
      <c r="G231" s="8"/>
      <c r="H231" s="139"/>
    </row>
    <row r="232" spans="2:8">
      <c r="B232" s="309" t="s">
        <v>394</v>
      </c>
      <c r="D232" s="8">
        <v>128007420</v>
      </c>
      <c r="E232" s="587">
        <v>0</v>
      </c>
      <c r="F232" s="587">
        <v>0</v>
      </c>
      <c r="G232" s="8">
        <v>1</v>
      </c>
      <c r="H232" s="139">
        <f t="shared" si="0"/>
        <v>128007419</v>
      </c>
    </row>
    <row r="233" spans="2:8">
      <c r="B233" s="309" t="s">
        <v>396</v>
      </c>
      <c r="D233" s="8">
        <v>65662525</v>
      </c>
      <c r="E233" s="587">
        <v>0</v>
      </c>
      <c r="F233" s="587">
        <v>0</v>
      </c>
      <c r="G233" s="8">
        <v>1</v>
      </c>
      <c r="H233" s="139">
        <f t="shared" si="0"/>
        <v>65662524</v>
      </c>
    </row>
    <row r="234" spans="2:8">
      <c r="B234" s="309" t="s">
        <v>397</v>
      </c>
      <c r="D234" s="8">
        <v>9462981</v>
      </c>
      <c r="E234" s="587">
        <v>0</v>
      </c>
      <c r="F234" s="587">
        <v>0</v>
      </c>
      <c r="G234" s="587">
        <v>0</v>
      </c>
      <c r="H234" s="139">
        <f t="shared" si="0"/>
        <v>9462981</v>
      </c>
    </row>
    <row r="235" spans="2:8">
      <c r="B235" s="309" t="s">
        <v>398</v>
      </c>
      <c r="D235" s="8">
        <v>17521624</v>
      </c>
      <c r="E235" s="587">
        <v>0</v>
      </c>
      <c r="F235" s="587">
        <v>0</v>
      </c>
      <c r="G235" s="8">
        <v>7652</v>
      </c>
      <c r="H235" s="139">
        <f t="shared" si="0"/>
        <v>17513972</v>
      </c>
    </row>
    <row r="236" spans="2:8">
      <c r="B236" s="309" t="s">
        <v>399</v>
      </c>
      <c r="D236" s="8">
        <v>3579962</v>
      </c>
      <c r="E236" s="587">
        <v>0</v>
      </c>
      <c r="F236" s="587">
        <v>0</v>
      </c>
      <c r="G236" s="587">
        <v>0</v>
      </c>
      <c r="H236" s="139">
        <f t="shared" si="0"/>
        <v>3579962</v>
      </c>
    </row>
    <row r="237" spans="2:8">
      <c r="B237" s="309" t="s">
        <v>400</v>
      </c>
      <c r="D237" s="8">
        <v>13001141</v>
      </c>
      <c r="E237" s="8">
        <v>24000</v>
      </c>
      <c r="F237" s="587">
        <v>0</v>
      </c>
      <c r="G237" s="8">
        <v>563885</v>
      </c>
      <c r="H237" s="139">
        <f t="shared" si="0"/>
        <v>12461256</v>
      </c>
    </row>
    <row r="238" spans="2:8">
      <c r="B238" s="78"/>
      <c r="D238" s="8"/>
      <c r="E238" s="8"/>
      <c r="F238" s="587"/>
      <c r="G238" s="8"/>
      <c r="H238" s="139"/>
    </row>
    <row r="239" spans="2:8">
      <c r="B239" s="78" t="s">
        <v>913</v>
      </c>
      <c r="D239" s="8">
        <v>786056520</v>
      </c>
      <c r="E239" s="8">
        <v>10847322</v>
      </c>
      <c r="F239" s="587">
        <v>0</v>
      </c>
      <c r="G239" s="8">
        <v>173160</v>
      </c>
      <c r="H239" s="139">
        <f t="shared" si="0"/>
        <v>796730682</v>
      </c>
    </row>
    <row r="240" spans="2:8">
      <c r="B240" s="78"/>
      <c r="D240" s="8"/>
      <c r="E240" s="8"/>
      <c r="F240" s="587"/>
      <c r="G240" s="8"/>
      <c r="H240" s="139"/>
    </row>
    <row r="241" spans="2:8">
      <c r="B241" s="78" t="s">
        <v>914</v>
      </c>
      <c r="D241" s="8"/>
      <c r="E241" s="8"/>
      <c r="F241" s="587"/>
      <c r="G241" s="8"/>
      <c r="H241" s="139"/>
    </row>
    <row r="242" spans="2:8">
      <c r="B242" s="309" t="s">
        <v>401</v>
      </c>
      <c r="D242" s="8">
        <v>21668977</v>
      </c>
      <c r="E242" s="8">
        <v>953231</v>
      </c>
      <c r="F242" s="587">
        <v>0</v>
      </c>
      <c r="G242" s="8">
        <v>528533</v>
      </c>
      <c r="H242" s="139">
        <f t="shared" si="0"/>
        <v>22093675</v>
      </c>
    </row>
    <row r="243" spans="2:8">
      <c r="B243" s="309" t="s">
        <v>402</v>
      </c>
      <c r="D243" s="8">
        <v>51049570</v>
      </c>
      <c r="E243" s="8">
        <v>746315</v>
      </c>
      <c r="F243" s="587">
        <v>0</v>
      </c>
      <c r="G243" s="8">
        <v>2106160</v>
      </c>
      <c r="H243" s="139">
        <f t="shared" si="0"/>
        <v>49689725</v>
      </c>
    </row>
    <row r="244" spans="2:8">
      <c r="B244" s="78"/>
      <c r="D244" s="8"/>
      <c r="E244" s="8"/>
      <c r="F244" s="8"/>
      <c r="G244" s="8"/>
      <c r="H244" s="139"/>
    </row>
    <row r="245" spans="2:8">
      <c r="B245" s="78" t="s">
        <v>915</v>
      </c>
      <c r="D245" s="8">
        <v>24173117</v>
      </c>
      <c r="E245" s="587">
        <v>0</v>
      </c>
      <c r="F245" s="587">
        <v>0</v>
      </c>
      <c r="G245" s="8">
        <v>948142</v>
      </c>
      <c r="H245" s="139">
        <f t="shared" si="0"/>
        <v>23224975</v>
      </c>
    </row>
    <row r="246" spans="2:8">
      <c r="B246" s="78"/>
      <c r="D246" s="8"/>
      <c r="E246" s="8"/>
      <c r="F246" s="8"/>
      <c r="G246" s="8"/>
      <c r="H246" s="139"/>
    </row>
    <row r="247" spans="2:8">
      <c r="B247" s="78" t="s">
        <v>916</v>
      </c>
      <c r="D247" s="8">
        <v>66950768</v>
      </c>
      <c r="E247" s="8">
        <v>4066075</v>
      </c>
      <c r="F247" s="8">
        <v>1857482</v>
      </c>
      <c r="G247" s="8">
        <v>7686459</v>
      </c>
      <c r="H247" s="139">
        <f>+D247+E247-F247-G247</f>
        <v>61472902</v>
      </c>
    </row>
    <row r="248" spans="2:8">
      <c r="B248" s="78"/>
      <c r="D248" s="8"/>
      <c r="E248" s="8"/>
      <c r="F248" s="8"/>
      <c r="G248" s="8"/>
      <c r="H248" s="139"/>
    </row>
    <row r="249" spans="2:8">
      <c r="B249" s="78" t="s">
        <v>917</v>
      </c>
      <c r="D249" s="8"/>
      <c r="E249" s="8"/>
      <c r="F249" s="8"/>
      <c r="G249" s="8"/>
      <c r="H249" s="139"/>
    </row>
    <row r="250" spans="2:8">
      <c r="B250" s="78"/>
      <c r="D250" s="8"/>
      <c r="E250" s="8"/>
      <c r="F250" s="8"/>
      <c r="G250" s="8"/>
      <c r="H250" s="139"/>
    </row>
    <row r="251" spans="2:8">
      <c r="B251" s="78" t="s">
        <v>918</v>
      </c>
      <c r="D251" s="8">
        <v>553643160</v>
      </c>
      <c r="E251" s="587">
        <v>0</v>
      </c>
      <c r="F251" s="587">
        <v>0</v>
      </c>
      <c r="G251" s="587">
        <v>0</v>
      </c>
      <c r="H251" s="139">
        <f t="shared" si="0"/>
        <v>553643160</v>
      </c>
    </row>
    <row r="252" spans="2:8">
      <c r="B252" s="78" t="s">
        <v>411</v>
      </c>
      <c r="D252" s="8">
        <v>26170572</v>
      </c>
      <c r="E252" s="587">
        <v>0</v>
      </c>
      <c r="F252" s="587">
        <v>0</v>
      </c>
      <c r="G252" s="587">
        <v>0</v>
      </c>
      <c r="H252" s="139">
        <f t="shared" si="0"/>
        <v>26170572</v>
      </c>
    </row>
    <row r="253" spans="2:8">
      <c r="B253" s="78"/>
      <c r="D253" s="8"/>
      <c r="E253" s="587"/>
      <c r="F253" s="587"/>
      <c r="G253" s="587"/>
      <c r="H253" s="139"/>
    </row>
    <row r="254" spans="2:8">
      <c r="B254" s="78" t="s">
        <v>919</v>
      </c>
      <c r="D254" s="8">
        <v>34112382</v>
      </c>
      <c r="E254" s="587">
        <v>0</v>
      </c>
      <c r="F254" s="587">
        <v>0</v>
      </c>
      <c r="G254" s="587">
        <v>0</v>
      </c>
      <c r="H254" s="139">
        <f t="shared" si="0"/>
        <v>34112382</v>
      </c>
    </row>
    <row r="255" spans="2:8">
      <c r="B255" s="72"/>
      <c r="D255" s="8"/>
      <c r="E255" s="8"/>
      <c r="F255" s="8"/>
      <c r="G255" s="8"/>
      <c r="H255" s="139"/>
    </row>
    <row r="256" spans="2:8">
      <c r="B256" s="72" t="s">
        <v>403</v>
      </c>
      <c r="D256" s="8">
        <v>175469857</v>
      </c>
      <c r="E256" s="8">
        <v>4360544</v>
      </c>
      <c r="F256" s="8">
        <v>1864780</v>
      </c>
      <c r="G256" s="8">
        <v>5741621</v>
      </c>
      <c r="H256" s="139">
        <f>+D256+E256-F256-G256</f>
        <v>172224000</v>
      </c>
    </row>
    <row r="257" spans="2:9" ht="12" thickBot="1">
      <c r="B257" s="104"/>
      <c r="D257" s="8"/>
      <c r="E257" s="78"/>
      <c r="F257" s="90"/>
      <c r="G257" s="72"/>
      <c r="H257" s="139"/>
    </row>
    <row r="258" spans="2:9" ht="12" thickBot="1">
      <c r="B258" s="575" t="s">
        <v>806</v>
      </c>
      <c r="D258" s="23">
        <f>SUM(D223:D257)</f>
        <v>2024328070</v>
      </c>
      <c r="E258" s="23">
        <f>SUM(E223:E257)</f>
        <v>20997487</v>
      </c>
      <c r="F258" s="23">
        <f>SUM(F223:F257)</f>
        <v>3722262</v>
      </c>
      <c r="G258" s="298">
        <f>SUM(G223:G257)</f>
        <v>17755614</v>
      </c>
      <c r="H258" s="298">
        <f>SUM(H223:H257)</f>
        <v>2023847681</v>
      </c>
    </row>
    <row r="259" spans="2:9" ht="12" thickBot="1">
      <c r="B259" s="564" t="s">
        <v>909</v>
      </c>
      <c r="D259" s="18"/>
      <c r="E259" s="18"/>
      <c r="F259" s="680"/>
      <c r="G259" s="18"/>
      <c r="H259" s="19">
        <f t="shared" si="0"/>
        <v>0</v>
      </c>
    </row>
    <row r="262" spans="2:9" ht="12" thickBot="1">
      <c r="H262" s="1442" t="s">
        <v>247</v>
      </c>
      <c r="I262" s="1442"/>
    </row>
    <row r="263" spans="2:9" ht="32.25" thickBot="1">
      <c r="B263" s="174" t="s">
        <v>170</v>
      </c>
      <c r="D263" s="175" t="s">
        <v>920</v>
      </c>
      <c r="E263" s="85" t="s">
        <v>921</v>
      </c>
      <c r="F263" s="176" t="s">
        <v>922</v>
      </c>
      <c r="G263" s="85" t="s">
        <v>859</v>
      </c>
      <c r="H263" s="137" t="s">
        <v>923</v>
      </c>
      <c r="I263" s="137" t="s">
        <v>45</v>
      </c>
    </row>
    <row r="264" spans="2:9">
      <c r="B264" s="104" t="s">
        <v>910</v>
      </c>
      <c r="D264" s="71"/>
      <c r="E264" s="82"/>
      <c r="F264" s="91"/>
      <c r="G264" s="82"/>
      <c r="H264" s="83"/>
      <c r="I264" s="83"/>
    </row>
    <row r="265" spans="2:9">
      <c r="B265" s="309" t="s">
        <v>392</v>
      </c>
      <c r="D265" s="587">
        <v>0</v>
      </c>
      <c r="E265" s="587">
        <v>0</v>
      </c>
      <c r="F265" s="587">
        <v>0</v>
      </c>
      <c r="G265" s="597">
        <f t="shared" ref="G265:G297" si="1">+D265+E265+F265</f>
        <v>0</v>
      </c>
      <c r="H265" s="587">
        <v>0</v>
      </c>
      <c r="I265" s="604">
        <f t="shared" ref="I265:I297" si="2">+G265-H265</f>
        <v>0</v>
      </c>
    </row>
    <row r="266" spans="2:9">
      <c r="B266" s="309" t="s">
        <v>393</v>
      </c>
      <c r="D266" s="587">
        <v>0</v>
      </c>
      <c r="E266" s="587">
        <v>0</v>
      </c>
      <c r="F266" s="587">
        <v>0</v>
      </c>
      <c r="G266" s="597">
        <f t="shared" si="1"/>
        <v>0</v>
      </c>
      <c r="H266" s="587">
        <v>0</v>
      </c>
      <c r="I266" s="604">
        <f t="shared" si="2"/>
        <v>0</v>
      </c>
    </row>
    <row r="267" spans="2:9">
      <c r="B267" s="309"/>
      <c r="D267" s="8"/>
      <c r="E267" s="8"/>
      <c r="F267" s="587"/>
      <c r="G267" s="139"/>
      <c r="H267" s="8"/>
      <c r="I267" s="89"/>
    </row>
    <row r="268" spans="2:9">
      <c r="B268" s="78" t="s">
        <v>911</v>
      </c>
      <c r="D268" s="8"/>
      <c r="E268" s="8"/>
      <c r="F268" s="587"/>
      <c r="G268" s="139"/>
      <c r="H268" s="8"/>
      <c r="I268" s="89"/>
    </row>
    <row r="269" spans="2:9">
      <c r="B269" s="309" t="s">
        <v>392</v>
      </c>
      <c r="D269" s="8">
        <v>10774740</v>
      </c>
      <c r="E269" s="8">
        <v>503098</v>
      </c>
      <c r="F269" s="587">
        <v>0</v>
      </c>
      <c r="G269" s="139">
        <f t="shared" si="1"/>
        <v>11277838</v>
      </c>
      <c r="H269" s="587">
        <v>0</v>
      </c>
      <c r="I269" s="89">
        <f t="shared" si="2"/>
        <v>11277838</v>
      </c>
    </row>
    <row r="270" spans="2:9">
      <c r="B270" s="309" t="s">
        <v>393</v>
      </c>
      <c r="D270" s="8">
        <v>1040015</v>
      </c>
      <c r="E270" s="8">
        <v>25455</v>
      </c>
      <c r="F270" s="587">
        <v>0</v>
      </c>
      <c r="G270" s="139">
        <f t="shared" si="1"/>
        <v>1065470</v>
      </c>
      <c r="H270" s="587">
        <v>0</v>
      </c>
      <c r="I270" s="89">
        <f t="shared" si="2"/>
        <v>1065470</v>
      </c>
    </row>
    <row r="271" spans="2:9">
      <c r="B271" s="78"/>
      <c r="D271" s="8"/>
      <c r="E271" s="8"/>
      <c r="F271" s="587"/>
      <c r="G271" s="139"/>
      <c r="H271" s="587"/>
      <c r="I271" s="89"/>
    </row>
    <row r="272" spans="2:9">
      <c r="B272" s="78" t="s">
        <v>912</v>
      </c>
      <c r="D272" s="8"/>
      <c r="E272" s="8"/>
      <c r="F272" s="587"/>
      <c r="G272" s="139"/>
      <c r="H272" s="587"/>
      <c r="I272" s="89"/>
    </row>
    <row r="273" spans="2:9">
      <c r="B273" s="309" t="s">
        <v>394</v>
      </c>
      <c r="D273" s="8">
        <v>46759524</v>
      </c>
      <c r="E273" s="8">
        <v>3307576</v>
      </c>
      <c r="F273" s="587">
        <v>0</v>
      </c>
      <c r="G273" s="139">
        <f t="shared" si="1"/>
        <v>50067100</v>
      </c>
      <c r="H273" s="587">
        <v>0</v>
      </c>
      <c r="I273" s="89">
        <f t="shared" si="2"/>
        <v>50067100</v>
      </c>
    </row>
    <row r="274" spans="2:9">
      <c r="B274" s="309" t="s">
        <v>396</v>
      </c>
      <c r="D274" s="8">
        <v>49279826</v>
      </c>
      <c r="E274" s="8">
        <v>1280993</v>
      </c>
      <c r="F274" s="587">
        <v>0</v>
      </c>
      <c r="G274" s="139">
        <f t="shared" si="1"/>
        <v>50560819</v>
      </c>
      <c r="H274" s="587">
        <v>0</v>
      </c>
      <c r="I274" s="89">
        <f t="shared" si="2"/>
        <v>50560819</v>
      </c>
    </row>
    <row r="275" spans="2:9">
      <c r="B275" s="309" t="s">
        <v>397</v>
      </c>
      <c r="D275" s="8">
        <v>9269954</v>
      </c>
      <c r="E275" s="8">
        <v>35792</v>
      </c>
      <c r="F275" s="587">
        <v>0</v>
      </c>
      <c r="G275" s="139">
        <f t="shared" si="1"/>
        <v>9305746</v>
      </c>
      <c r="H275" s="587">
        <v>0</v>
      </c>
      <c r="I275" s="89">
        <f t="shared" si="2"/>
        <v>9305746</v>
      </c>
    </row>
    <row r="276" spans="2:9">
      <c r="B276" s="309" t="s">
        <v>398</v>
      </c>
      <c r="D276" s="8">
        <v>15470028</v>
      </c>
      <c r="E276" s="8">
        <v>314076</v>
      </c>
      <c r="F276" s="587">
        <v>0</v>
      </c>
      <c r="G276" s="139">
        <f t="shared" si="1"/>
        <v>15784104</v>
      </c>
      <c r="H276" s="8">
        <v>7651</v>
      </c>
      <c r="I276" s="89">
        <f t="shared" si="2"/>
        <v>15776453</v>
      </c>
    </row>
    <row r="277" spans="2:9">
      <c r="B277" s="309" t="s">
        <v>399</v>
      </c>
      <c r="D277" s="8">
        <v>2228981</v>
      </c>
      <c r="E277" s="8">
        <v>89382</v>
      </c>
      <c r="F277" s="587">
        <v>0</v>
      </c>
      <c r="G277" s="139">
        <f t="shared" si="1"/>
        <v>2318363</v>
      </c>
      <c r="H277" s="587">
        <v>0</v>
      </c>
      <c r="I277" s="89">
        <f t="shared" si="2"/>
        <v>2318363</v>
      </c>
    </row>
    <row r="278" spans="2:9">
      <c r="B278" s="309" t="s">
        <v>400</v>
      </c>
      <c r="D278" s="8">
        <v>12829341</v>
      </c>
      <c r="E278" s="8">
        <v>21990</v>
      </c>
      <c r="F278" s="587">
        <v>0</v>
      </c>
      <c r="G278" s="139">
        <f t="shared" si="1"/>
        <v>12851331</v>
      </c>
      <c r="H278" s="8">
        <v>563864</v>
      </c>
      <c r="I278" s="89">
        <f t="shared" si="2"/>
        <v>12287467</v>
      </c>
    </row>
    <row r="279" spans="2:9">
      <c r="B279" s="78"/>
      <c r="D279" s="8"/>
      <c r="E279" s="8"/>
      <c r="F279" s="587"/>
      <c r="G279" s="139"/>
      <c r="H279" s="8"/>
      <c r="I279" s="89"/>
    </row>
    <row r="280" spans="2:9">
      <c r="B280" s="78" t="s">
        <v>913</v>
      </c>
      <c r="D280" s="8">
        <v>208376008</v>
      </c>
      <c r="E280" s="8">
        <v>39264714</v>
      </c>
      <c r="F280" s="587">
        <v>0</v>
      </c>
      <c r="G280" s="139">
        <f t="shared" si="1"/>
        <v>247640722</v>
      </c>
      <c r="H280" s="8">
        <v>173157</v>
      </c>
      <c r="I280" s="89">
        <f t="shared" si="2"/>
        <v>247467565</v>
      </c>
    </row>
    <row r="281" spans="2:9">
      <c r="B281" s="78"/>
      <c r="D281" s="8"/>
      <c r="E281" s="8"/>
      <c r="F281" s="587"/>
      <c r="G281" s="139"/>
      <c r="H281" s="8"/>
      <c r="I281" s="89"/>
    </row>
    <row r="282" spans="2:9">
      <c r="B282" s="78" t="s">
        <v>914</v>
      </c>
      <c r="D282" s="8"/>
      <c r="E282" s="8"/>
      <c r="F282" s="587"/>
      <c r="G282" s="139"/>
      <c r="H282" s="8"/>
      <c r="I282" s="89"/>
    </row>
    <row r="283" spans="2:9">
      <c r="B283" s="309" t="s">
        <v>401</v>
      </c>
      <c r="D283" s="8">
        <v>21223696</v>
      </c>
      <c r="E283" s="8">
        <v>956207</v>
      </c>
      <c r="F283" s="587">
        <v>0</v>
      </c>
      <c r="G283" s="139">
        <f t="shared" si="1"/>
        <v>22179903</v>
      </c>
      <c r="H283" s="8">
        <v>528519</v>
      </c>
      <c r="I283" s="89">
        <f t="shared" si="2"/>
        <v>21651384</v>
      </c>
    </row>
    <row r="284" spans="2:9">
      <c r="B284" s="309" t="s">
        <v>402</v>
      </c>
      <c r="D284" s="8">
        <v>46636458</v>
      </c>
      <c r="E284" s="8">
        <v>2308214</v>
      </c>
      <c r="F284" s="587">
        <v>0</v>
      </c>
      <c r="G284" s="139">
        <f t="shared" si="1"/>
        <v>48944672</v>
      </c>
      <c r="H284" s="8">
        <v>2105464</v>
      </c>
      <c r="I284" s="89">
        <f t="shared" si="2"/>
        <v>46839208</v>
      </c>
    </row>
    <row r="285" spans="2:9">
      <c r="B285" s="78"/>
      <c r="D285" s="8"/>
      <c r="E285" s="8"/>
      <c r="F285" s="587"/>
      <c r="G285" s="139"/>
      <c r="H285" s="8"/>
      <c r="I285" s="89"/>
    </row>
    <row r="286" spans="2:9">
      <c r="B286" s="78" t="s">
        <v>915</v>
      </c>
      <c r="D286" s="8">
        <v>15909078</v>
      </c>
      <c r="E286" s="8">
        <v>3032956</v>
      </c>
      <c r="F286" s="587">
        <v>0</v>
      </c>
      <c r="G286" s="139">
        <f t="shared" si="1"/>
        <v>18942034</v>
      </c>
      <c r="H286" s="8">
        <v>948133</v>
      </c>
      <c r="I286" s="89">
        <f t="shared" si="2"/>
        <v>17993901</v>
      </c>
    </row>
    <row r="287" spans="2:9">
      <c r="B287" s="685"/>
      <c r="D287" s="8"/>
      <c r="E287" s="8"/>
      <c r="F287" s="587"/>
      <c r="G287" s="139"/>
      <c r="H287" s="8"/>
      <c r="I287" s="89"/>
    </row>
    <row r="288" spans="2:9">
      <c r="B288" s="78" t="s">
        <v>916</v>
      </c>
      <c r="D288" s="8">
        <v>54524852</v>
      </c>
      <c r="E288" s="8">
        <v>4418664</v>
      </c>
      <c r="F288" s="587">
        <v>0</v>
      </c>
      <c r="G288" s="139">
        <f t="shared" si="1"/>
        <v>58943516</v>
      </c>
      <c r="H288" s="8">
        <v>9385149</v>
      </c>
      <c r="I288" s="89">
        <f t="shared" si="2"/>
        <v>49558367</v>
      </c>
    </row>
    <row r="289" spans="2:9">
      <c r="B289" s="78"/>
      <c r="D289" s="8"/>
      <c r="E289" s="8"/>
      <c r="F289" s="587"/>
      <c r="G289" s="139"/>
      <c r="H289" s="8"/>
      <c r="I289" s="89"/>
    </row>
    <row r="290" spans="2:9">
      <c r="B290" s="78" t="s">
        <v>917</v>
      </c>
      <c r="D290" s="8"/>
      <c r="E290" s="8"/>
      <c r="F290" s="587"/>
      <c r="G290" s="139"/>
      <c r="H290" s="8"/>
      <c r="I290" s="89"/>
    </row>
    <row r="291" spans="2:9">
      <c r="B291" s="78"/>
      <c r="D291" s="8"/>
      <c r="E291" s="8"/>
      <c r="F291" s="587"/>
      <c r="G291" s="139"/>
      <c r="H291" s="8"/>
      <c r="I291" s="89"/>
    </row>
    <row r="292" spans="2:9">
      <c r="B292" s="78" t="s">
        <v>918</v>
      </c>
      <c r="D292" s="8">
        <v>255594371</v>
      </c>
      <c r="E292" s="8">
        <v>55364309</v>
      </c>
      <c r="F292" s="587">
        <v>0</v>
      </c>
      <c r="G292" s="139">
        <f t="shared" si="1"/>
        <v>310958680</v>
      </c>
      <c r="H292" s="587">
        <v>0</v>
      </c>
      <c r="I292" s="89">
        <f t="shared" si="2"/>
        <v>310958680</v>
      </c>
    </row>
    <row r="293" spans="2:9">
      <c r="B293" s="78" t="s">
        <v>411</v>
      </c>
      <c r="D293" s="8">
        <v>26170571</v>
      </c>
      <c r="E293" s="587">
        <v>0</v>
      </c>
      <c r="F293" s="587">
        <v>0</v>
      </c>
      <c r="G293" s="139">
        <f t="shared" si="1"/>
        <v>26170571</v>
      </c>
      <c r="H293" s="587">
        <v>0</v>
      </c>
      <c r="I293" s="89">
        <f t="shared" si="2"/>
        <v>26170571</v>
      </c>
    </row>
    <row r="294" spans="2:9">
      <c r="B294" s="78"/>
      <c r="D294" s="8"/>
      <c r="E294" s="8"/>
      <c r="F294" s="587"/>
      <c r="G294" s="139"/>
      <c r="H294" s="587"/>
      <c r="I294" s="89"/>
    </row>
    <row r="295" spans="2:9">
      <c r="B295" s="78" t="s">
        <v>919</v>
      </c>
      <c r="D295" s="8">
        <v>15311631</v>
      </c>
      <c r="E295" s="8">
        <v>1364494</v>
      </c>
      <c r="F295" s="587">
        <v>0</v>
      </c>
      <c r="G295" s="139">
        <f t="shared" si="1"/>
        <v>16676125</v>
      </c>
      <c r="H295" s="587">
        <v>0</v>
      </c>
      <c r="I295" s="89">
        <f t="shared" si="2"/>
        <v>16676125</v>
      </c>
    </row>
    <row r="296" spans="2:9">
      <c r="B296" s="72"/>
      <c r="D296" s="8"/>
      <c r="E296" s="8"/>
      <c r="F296" s="587"/>
      <c r="G296" s="139"/>
      <c r="H296" s="8"/>
      <c r="I296" s="89"/>
    </row>
    <row r="297" spans="2:9">
      <c r="B297" s="72" t="s">
        <v>403</v>
      </c>
      <c r="D297" s="8">
        <v>160786926</v>
      </c>
      <c r="E297" s="8">
        <v>8104317</v>
      </c>
      <c r="F297" s="587">
        <v>0</v>
      </c>
      <c r="G297" s="139">
        <f t="shared" si="1"/>
        <v>168891243</v>
      </c>
      <c r="H297" s="8">
        <v>7633209</v>
      </c>
      <c r="I297" s="89">
        <f t="shared" si="2"/>
        <v>161258034</v>
      </c>
    </row>
    <row r="298" spans="2:9" ht="12" thickBot="1">
      <c r="B298" s="104"/>
      <c r="D298" s="8"/>
      <c r="E298" s="78"/>
      <c r="F298" s="603"/>
      <c r="G298" s="78"/>
      <c r="H298" s="87"/>
      <c r="I298" s="87"/>
    </row>
    <row r="299" spans="2:9" ht="12" thickBot="1">
      <c r="B299" s="575" t="s">
        <v>806</v>
      </c>
      <c r="D299" s="23">
        <f t="shared" ref="D299:I299" si="3">SUM(D264:D298)</f>
        <v>952186000</v>
      </c>
      <c r="E299" s="23">
        <f t="shared" si="3"/>
        <v>120392237</v>
      </c>
      <c r="F299" s="598">
        <f t="shared" si="3"/>
        <v>0</v>
      </c>
      <c r="G299" s="23">
        <f t="shared" si="3"/>
        <v>1072578237</v>
      </c>
      <c r="H299" s="23">
        <f t="shared" si="3"/>
        <v>21345146</v>
      </c>
      <c r="I299" s="11">
        <f t="shared" si="3"/>
        <v>1051233091</v>
      </c>
    </row>
    <row r="300" spans="2:9" ht="12" thickBot="1">
      <c r="B300" s="575" t="s">
        <v>909</v>
      </c>
      <c r="D300" s="18"/>
      <c r="E300" s="18"/>
      <c r="F300" s="680"/>
      <c r="G300" s="18"/>
      <c r="H300" s="12"/>
      <c r="I300" s="12"/>
    </row>
    <row r="302" spans="2:9" ht="12" thickBot="1">
      <c r="D302" s="1442" t="s">
        <v>247</v>
      </c>
      <c r="E302" s="1442"/>
    </row>
    <row r="303" spans="2:9" ht="12" thickBot="1">
      <c r="B303" s="100" t="s">
        <v>924</v>
      </c>
      <c r="D303" s="311" t="s">
        <v>811</v>
      </c>
      <c r="E303" s="179" t="s">
        <v>812</v>
      </c>
    </row>
    <row r="304" spans="2:9">
      <c r="B304" s="78" t="s">
        <v>910</v>
      </c>
      <c r="D304" s="65"/>
      <c r="E304" s="178"/>
    </row>
    <row r="305" spans="2:5">
      <c r="B305" s="309" t="s">
        <v>392</v>
      </c>
      <c r="D305" s="17">
        <f>H224-I265</f>
        <v>3659111</v>
      </c>
      <c r="E305" s="139">
        <f>+D224-D265</f>
        <v>3659111</v>
      </c>
    </row>
    <row r="306" spans="2:5">
      <c r="B306" s="309" t="s">
        <v>393</v>
      </c>
      <c r="D306" s="17">
        <f>H225-I266</f>
        <v>1332631</v>
      </c>
      <c r="E306" s="139">
        <f>+D225-D266</f>
        <v>1332631</v>
      </c>
    </row>
    <row r="307" spans="2:5">
      <c r="B307" s="309"/>
      <c r="D307" s="17"/>
      <c r="E307" s="139"/>
    </row>
    <row r="308" spans="2:5">
      <c r="B308" s="78" t="s">
        <v>911</v>
      </c>
      <c r="D308" s="17"/>
      <c r="E308" s="139"/>
    </row>
    <row r="309" spans="2:5">
      <c r="B309" s="309" t="s">
        <v>392</v>
      </c>
      <c r="D309" s="17">
        <f>H228-I269</f>
        <v>28857566</v>
      </c>
      <c r="E309" s="139">
        <f>+D228-D269</f>
        <v>29360664</v>
      </c>
    </row>
    <row r="310" spans="2:5">
      <c r="B310" s="309" t="s">
        <v>393</v>
      </c>
      <c r="D310" s="17">
        <f>H229-I270</f>
        <v>1604878</v>
      </c>
      <c r="E310" s="139">
        <f>+D229-D270</f>
        <v>1630333</v>
      </c>
    </row>
    <row r="311" spans="2:5">
      <c r="B311" s="78"/>
      <c r="D311" s="17"/>
      <c r="E311" s="139"/>
    </row>
    <row r="312" spans="2:5">
      <c r="B312" s="78" t="s">
        <v>912</v>
      </c>
      <c r="D312" s="17"/>
      <c r="E312" s="139"/>
    </row>
    <row r="313" spans="2:5">
      <c r="B313" s="309" t="s">
        <v>394</v>
      </c>
      <c r="D313" s="17">
        <f t="shared" ref="D313:D318" si="4">H232-I273</f>
        <v>77940319</v>
      </c>
      <c r="E313" s="139">
        <f t="shared" ref="E313:E318" si="5">+D232-D273</f>
        <v>81247896</v>
      </c>
    </row>
    <row r="314" spans="2:5">
      <c r="B314" s="309" t="s">
        <v>396</v>
      </c>
      <c r="D314" s="17">
        <f t="shared" si="4"/>
        <v>15101705</v>
      </c>
      <c r="E314" s="139">
        <f t="shared" si="5"/>
        <v>16382699</v>
      </c>
    </row>
    <row r="315" spans="2:5">
      <c r="B315" s="309" t="s">
        <v>397</v>
      </c>
      <c r="D315" s="17">
        <f t="shared" si="4"/>
        <v>157235</v>
      </c>
      <c r="E315" s="139">
        <f t="shared" si="5"/>
        <v>193027</v>
      </c>
    </row>
    <row r="316" spans="2:5">
      <c r="B316" s="309" t="s">
        <v>398</v>
      </c>
      <c r="D316" s="17">
        <f t="shared" si="4"/>
        <v>1737519</v>
      </c>
      <c r="E316" s="139">
        <f t="shared" si="5"/>
        <v>2051596</v>
      </c>
    </row>
    <row r="317" spans="2:5">
      <c r="B317" s="309" t="s">
        <v>399</v>
      </c>
      <c r="D317" s="17">
        <f t="shared" si="4"/>
        <v>1261599</v>
      </c>
      <c r="E317" s="139">
        <f t="shared" si="5"/>
        <v>1350981</v>
      </c>
    </row>
    <row r="318" spans="2:5">
      <c r="B318" s="309" t="s">
        <v>400</v>
      </c>
      <c r="D318" s="17">
        <f t="shared" si="4"/>
        <v>173789</v>
      </c>
      <c r="E318" s="139">
        <f t="shared" si="5"/>
        <v>171800</v>
      </c>
    </row>
    <row r="319" spans="2:5">
      <c r="B319" s="78"/>
      <c r="D319" s="17"/>
      <c r="E319" s="139"/>
    </row>
    <row r="320" spans="2:5">
      <c r="B320" s="78" t="s">
        <v>913</v>
      </c>
      <c r="D320" s="17">
        <f>H239-I280</f>
        <v>549263117</v>
      </c>
      <c r="E320" s="139">
        <f>+D239-D280</f>
        <v>577680512</v>
      </c>
    </row>
    <row r="321" spans="2:5">
      <c r="B321" s="78"/>
      <c r="D321" s="17"/>
      <c r="E321" s="139"/>
    </row>
    <row r="322" spans="2:5">
      <c r="B322" s="78" t="s">
        <v>914</v>
      </c>
      <c r="D322" s="17"/>
      <c r="E322" s="597"/>
    </row>
    <row r="323" spans="2:5">
      <c r="B323" s="309" t="s">
        <v>401</v>
      </c>
      <c r="D323" s="17">
        <f>H242-I283</f>
        <v>442291</v>
      </c>
      <c r="E323" s="139">
        <f>+D242-D283</f>
        <v>445281</v>
      </c>
    </row>
    <row r="324" spans="2:5">
      <c r="B324" s="309" t="s">
        <v>402</v>
      </c>
      <c r="D324" s="17">
        <f>H243-I284</f>
        <v>2850517</v>
      </c>
      <c r="E324" s="139">
        <f>+D243-D284</f>
        <v>4413112</v>
      </c>
    </row>
    <row r="325" spans="2:5">
      <c r="B325" s="78"/>
      <c r="D325" s="17"/>
      <c r="E325" s="139"/>
    </row>
    <row r="326" spans="2:5">
      <c r="B326" s="78" t="s">
        <v>915</v>
      </c>
      <c r="D326" s="17">
        <f>H245-I286</f>
        <v>5231074</v>
      </c>
      <c r="E326" s="139">
        <f>+D245-D286</f>
        <v>8264039</v>
      </c>
    </row>
    <row r="327" spans="2:5">
      <c r="B327" s="78"/>
      <c r="D327" s="17"/>
      <c r="E327" s="139"/>
    </row>
    <row r="328" spans="2:5">
      <c r="B328" s="78" t="s">
        <v>916</v>
      </c>
      <c r="D328" s="17">
        <f>H247-I288</f>
        <v>11914535</v>
      </c>
      <c r="E328" s="139">
        <f>+D247-D288</f>
        <v>12425916</v>
      </c>
    </row>
    <row r="329" spans="2:5">
      <c r="B329" s="78"/>
      <c r="D329" s="17"/>
      <c r="E329" s="139"/>
    </row>
    <row r="330" spans="2:5">
      <c r="B330" s="78" t="s">
        <v>917</v>
      </c>
      <c r="D330" s="17"/>
      <c r="E330" s="597"/>
    </row>
    <row r="331" spans="2:5">
      <c r="B331" s="78"/>
      <c r="D331" s="17"/>
      <c r="E331" s="139"/>
    </row>
    <row r="332" spans="2:5">
      <c r="B332" s="78" t="s">
        <v>918</v>
      </c>
      <c r="D332" s="17">
        <f>H251-I292</f>
        <v>242684480</v>
      </c>
      <c r="E332" s="139">
        <f>+D251-D292</f>
        <v>298048789</v>
      </c>
    </row>
    <row r="333" spans="2:5">
      <c r="B333" s="78" t="s">
        <v>411</v>
      </c>
      <c r="D333" s="17">
        <f>H252-I293</f>
        <v>1</v>
      </c>
      <c r="E333" s="139">
        <f>+D252-D293</f>
        <v>1</v>
      </c>
    </row>
    <row r="334" spans="2:5">
      <c r="B334" s="78"/>
      <c r="D334" s="17"/>
      <c r="E334" s="139"/>
    </row>
    <row r="335" spans="2:5">
      <c r="B335" s="78" t="s">
        <v>919</v>
      </c>
      <c r="D335" s="17">
        <f>H254-I295</f>
        <v>17436257</v>
      </c>
      <c r="E335" s="139">
        <f>+D254-D295</f>
        <v>18800751</v>
      </c>
    </row>
    <row r="336" spans="2:5">
      <c r="B336" s="72"/>
      <c r="D336" s="17"/>
      <c r="E336" s="139"/>
    </row>
    <row r="337" spans="2:7">
      <c r="B337" s="72" t="s">
        <v>403</v>
      </c>
      <c r="D337" s="17">
        <f>H256-I297</f>
        <v>10965966</v>
      </c>
      <c r="E337" s="139">
        <f>+D256-D297</f>
        <v>14682931</v>
      </c>
    </row>
    <row r="338" spans="2:7" ht="12" thickBot="1">
      <c r="B338" s="78"/>
      <c r="D338" s="17"/>
      <c r="E338" s="139"/>
    </row>
    <row r="339" spans="2:7" ht="12" thickBot="1">
      <c r="B339" s="575" t="s">
        <v>806</v>
      </c>
      <c r="D339" s="23">
        <f>SUM(D304:D338)</f>
        <v>972614590</v>
      </c>
      <c r="E339" s="23">
        <f>SUM(E304:E338)</f>
        <v>1072142070</v>
      </c>
    </row>
    <row r="340" spans="2:7" ht="12" thickBot="1">
      <c r="B340" s="575" t="s">
        <v>909</v>
      </c>
      <c r="D340" s="570">
        <f>E339</f>
        <v>1072142070</v>
      </c>
      <c r="E340" s="18"/>
    </row>
    <row r="342" spans="2:7" ht="23.25" hidden="1" customHeight="1">
      <c r="B342" s="1437" t="s">
        <v>925</v>
      </c>
      <c r="C342" s="1437"/>
      <c r="D342" s="1437"/>
      <c r="E342" s="1437"/>
      <c r="F342" s="1437"/>
      <c r="G342" s="1437"/>
    </row>
    <row r="343" spans="2:7" hidden="1"/>
    <row r="344" spans="2:7" ht="33.75" hidden="1" customHeight="1">
      <c r="B344" s="1437" t="s">
        <v>9</v>
      </c>
      <c r="C344" s="1437"/>
      <c r="D344" s="1437"/>
      <c r="E344" s="1437"/>
      <c r="F344" s="1437"/>
      <c r="G344" s="1437"/>
    </row>
    <row r="345" spans="2:7" hidden="1"/>
    <row r="346" spans="2:7" ht="26.25" hidden="1" customHeight="1">
      <c r="B346" s="1437" t="s">
        <v>32</v>
      </c>
      <c r="C346" s="1437"/>
      <c r="D346" s="1437"/>
      <c r="E346" s="1437"/>
      <c r="F346" s="1437"/>
      <c r="G346" s="1437"/>
    </row>
    <row r="347" spans="2:7" hidden="1"/>
    <row r="348" spans="2:7" hidden="1">
      <c r="B348" s="1437" t="s">
        <v>36</v>
      </c>
      <c r="C348" s="1437"/>
      <c r="D348" s="1437"/>
      <c r="E348" s="1437"/>
      <c r="F348" s="1437"/>
      <c r="G348" s="1437"/>
    </row>
    <row r="349" spans="2:7" hidden="1"/>
    <row r="350" spans="2:7" ht="38.25" hidden="1" customHeight="1">
      <c r="B350" s="1437" t="s">
        <v>10</v>
      </c>
      <c r="C350" s="1437"/>
      <c r="D350" s="1437"/>
      <c r="E350" s="1437"/>
      <c r="F350" s="1437"/>
      <c r="G350" s="1437"/>
    </row>
    <row r="352" spans="2:7">
      <c r="B352" s="70" t="s">
        <v>37</v>
      </c>
    </row>
    <row r="353" spans="2:15" ht="12" thickBot="1">
      <c r="H353" s="1442" t="s">
        <v>247</v>
      </c>
      <c r="I353" s="1442"/>
    </row>
    <row r="354" spans="2:15" ht="32.25" thickBot="1">
      <c r="B354" s="189" t="s">
        <v>38</v>
      </c>
      <c r="D354" s="187" t="s">
        <v>847</v>
      </c>
      <c r="E354" s="85" t="s">
        <v>906</v>
      </c>
      <c r="F354" s="176" t="s">
        <v>39</v>
      </c>
      <c r="G354" s="85" t="s">
        <v>40</v>
      </c>
      <c r="H354" s="137" t="s">
        <v>907</v>
      </c>
      <c r="I354" s="188" t="s">
        <v>811</v>
      </c>
    </row>
    <row r="355" spans="2:15">
      <c r="B355" s="78" t="s">
        <v>41</v>
      </c>
      <c r="D355" s="71">
        <v>190790</v>
      </c>
      <c r="E355" s="82"/>
      <c r="F355" s="91"/>
      <c r="G355" s="82"/>
      <c r="H355" s="83"/>
      <c r="I355" s="173">
        <f>+D355+E355+F355+G355-H355</f>
        <v>190790</v>
      </c>
    </row>
    <row r="356" spans="2:15" ht="12" thickBot="1">
      <c r="B356" s="78" t="s">
        <v>879</v>
      </c>
      <c r="D356" s="599">
        <v>0</v>
      </c>
      <c r="E356" s="78"/>
      <c r="F356" s="90"/>
      <c r="G356" s="104"/>
      <c r="H356" s="87"/>
      <c r="I356" s="602">
        <f>+D356+E356+F356+G356-H356</f>
        <v>0</v>
      </c>
    </row>
    <row r="357" spans="2:15" ht="12" thickBot="1">
      <c r="B357" s="575" t="s">
        <v>806</v>
      </c>
      <c r="D357" s="81">
        <f t="shared" ref="D357:I357" si="6">+D355+D356</f>
        <v>190790</v>
      </c>
      <c r="E357" s="601">
        <f t="shared" si="6"/>
        <v>0</v>
      </c>
      <c r="F357" s="601">
        <f t="shared" si="6"/>
        <v>0</v>
      </c>
      <c r="G357" s="601">
        <f t="shared" si="6"/>
        <v>0</v>
      </c>
      <c r="H357" s="601">
        <f t="shared" si="6"/>
        <v>0</v>
      </c>
      <c r="I357" s="81">
        <f t="shared" si="6"/>
        <v>190790</v>
      </c>
    </row>
    <row r="358" spans="2:15" ht="12" thickBot="1">
      <c r="B358" s="575" t="s">
        <v>909</v>
      </c>
      <c r="D358" s="69"/>
      <c r="E358" s="69"/>
      <c r="F358" s="61"/>
      <c r="G358" s="69"/>
      <c r="H358" s="50"/>
      <c r="I358" s="50"/>
    </row>
    <row r="360" spans="2:15" ht="12" thickBot="1">
      <c r="H360" s="1442" t="s">
        <v>247</v>
      </c>
      <c r="I360" s="1442"/>
    </row>
    <row r="361" spans="2:15" ht="35.450000000000003" customHeight="1" thickBot="1">
      <c r="B361" s="190" t="s">
        <v>42</v>
      </c>
      <c r="D361" s="105" t="s">
        <v>46</v>
      </c>
      <c r="E361" s="106" t="s">
        <v>43</v>
      </c>
      <c r="F361" s="106" t="s">
        <v>44</v>
      </c>
      <c r="G361" s="106" t="s">
        <v>859</v>
      </c>
      <c r="H361" s="106" t="s">
        <v>923</v>
      </c>
      <c r="I361" s="107" t="s">
        <v>45</v>
      </c>
    </row>
    <row r="362" spans="2:15" ht="12.75" customHeight="1">
      <c r="B362" s="78" t="s">
        <v>41</v>
      </c>
      <c r="D362" s="180">
        <v>138378</v>
      </c>
      <c r="E362" s="178">
        <v>52407</v>
      </c>
      <c r="F362" s="181"/>
      <c r="G362" s="178">
        <f>+D362+E362+F362</f>
        <v>190785</v>
      </c>
      <c r="H362" s="173"/>
      <c r="I362" s="173">
        <f>+G362-H362</f>
        <v>190785</v>
      </c>
    </row>
    <row r="363" spans="2:15" ht="12" thickBot="1">
      <c r="B363" s="78" t="s">
        <v>879</v>
      </c>
      <c r="D363" s="631">
        <v>0</v>
      </c>
      <c r="E363" s="597"/>
      <c r="F363" s="632"/>
      <c r="G363" s="597">
        <f>+D363+E363+F363</f>
        <v>0</v>
      </c>
      <c r="H363" s="604"/>
      <c r="I363" s="604">
        <f>+G363-H363</f>
        <v>0</v>
      </c>
    </row>
    <row r="364" spans="2:15" ht="12" thickBot="1">
      <c r="B364" s="575" t="s">
        <v>806</v>
      </c>
      <c r="D364" s="183">
        <f t="shared" ref="D364:I364" si="7">SUM(D362:D363)</f>
        <v>138378</v>
      </c>
      <c r="E364" s="183">
        <f t="shared" si="7"/>
        <v>52407</v>
      </c>
      <c r="F364" s="600">
        <f t="shared" si="7"/>
        <v>0</v>
      </c>
      <c r="G364" s="183">
        <f t="shared" si="7"/>
        <v>190785</v>
      </c>
      <c r="H364" s="600">
        <f t="shared" si="7"/>
        <v>0</v>
      </c>
      <c r="I364" s="183">
        <f t="shared" si="7"/>
        <v>190785</v>
      </c>
    </row>
    <row r="365" spans="2:15" ht="12" thickBot="1">
      <c r="B365" s="575" t="s">
        <v>909</v>
      </c>
      <c r="D365" s="184"/>
      <c r="E365" s="184"/>
      <c r="F365" s="185"/>
      <c r="G365" s="184"/>
      <c r="H365" s="186"/>
      <c r="I365" s="183">
        <f>SUM(I363:I364)</f>
        <v>190785</v>
      </c>
    </row>
    <row r="366" spans="2:15">
      <c r="B366" s="287"/>
      <c r="J366" s="288"/>
      <c r="K366" s="288"/>
      <c r="L366" s="288"/>
      <c r="M366" s="288"/>
      <c r="N366" s="288"/>
      <c r="O366" s="288"/>
    </row>
    <row r="367" spans="2:15" ht="12" thickBot="1">
      <c r="D367" s="1442" t="s">
        <v>247</v>
      </c>
      <c r="E367" s="1442"/>
    </row>
    <row r="368" spans="2:15" ht="12" thickBot="1">
      <c r="B368" s="191" t="s">
        <v>47</v>
      </c>
      <c r="D368" s="108" t="s">
        <v>811</v>
      </c>
      <c r="E368" s="109" t="s">
        <v>812</v>
      </c>
    </row>
    <row r="369" spans="2:8">
      <c r="B369" s="78" t="s">
        <v>41</v>
      </c>
      <c r="D369" s="71">
        <f>+I355-I362</f>
        <v>5</v>
      </c>
      <c r="E369" s="178">
        <f>+D355-D362</f>
        <v>52412</v>
      </c>
    </row>
    <row r="370" spans="2:8" ht="12" thickBot="1">
      <c r="B370" s="78" t="s">
        <v>879</v>
      </c>
      <c r="D370" s="631">
        <f>+I356-I363</f>
        <v>0</v>
      </c>
      <c r="E370" s="597">
        <f>+D356-D363</f>
        <v>0</v>
      </c>
    </row>
    <row r="371" spans="2:8" ht="12" thickBot="1">
      <c r="B371" s="575" t="s">
        <v>806</v>
      </c>
      <c r="D371" s="81">
        <f>SUM(D369:D370)</f>
        <v>5</v>
      </c>
      <c r="E371" s="81">
        <f>SUM(E369:E370)</f>
        <v>52412</v>
      </c>
    </row>
    <row r="372" spans="2:8" ht="12" thickBot="1">
      <c r="B372" s="575" t="s">
        <v>909</v>
      </c>
      <c r="D372" s="69"/>
      <c r="E372" s="69"/>
    </row>
    <row r="374" spans="2:8">
      <c r="B374" s="110" t="s">
        <v>48</v>
      </c>
    </row>
    <row r="376" spans="2:8" ht="12" thickBot="1">
      <c r="G376" s="1442" t="s">
        <v>247</v>
      </c>
      <c r="H376" s="1442"/>
    </row>
    <row r="377" spans="2:8" ht="12" thickBot="1">
      <c r="B377" s="172" t="s">
        <v>352</v>
      </c>
      <c r="D377" s="617" t="s">
        <v>847</v>
      </c>
      <c r="E377" s="618" t="s">
        <v>906</v>
      </c>
      <c r="F377" s="619" t="s">
        <v>908</v>
      </c>
      <c r="G377" s="618" t="s">
        <v>907</v>
      </c>
      <c r="H377" s="620" t="s">
        <v>811</v>
      </c>
    </row>
    <row r="378" spans="2:8">
      <c r="B378" s="78" t="s">
        <v>912</v>
      </c>
      <c r="D378" s="71"/>
      <c r="E378" s="82"/>
      <c r="F378" s="91"/>
      <c r="G378" s="82"/>
      <c r="H378" s="173"/>
    </row>
    <row r="379" spans="2:8">
      <c r="B379" s="309" t="s">
        <v>412</v>
      </c>
      <c r="D379" s="8">
        <v>6709384</v>
      </c>
      <c r="E379" s="587">
        <v>0</v>
      </c>
      <c r="F379" s="587">
        <v>0</v>
      </c>
      <c r="G379" s="587">
        <v>0</v>
      </c>
      <c r="H379" s="89">
        <f t="shared" ref="H379:H386" si="8">+D379+E379+F379-G379</f>
        <v>6709384</v>
      </c>
    </row>
    <row r="380" spans="2:8">
      <c r="B380" s="309" t="s">
        <v>398</v>
      </c>
      <c r="D380" s="8">
        <v>6701477</v>
      </c>
      <c r="E380" s="587">
        <v>0</v>
      </c>
      <c r="F380" s="587">
        <v>0</v>
      </c>
      <c r="G380" s="587">
        <v>0</v>
      </c>
      <c r="H380" s="89">
        <f t="shared" si="8"/>
        <v>6701477</v>
      </c>
    </row>
    <row r="381" spans="2:8">
      <c r="B381" s="309" t="s">
        <v>399</v>
      </c>
      <c r="D381" s="8">
        <v>474499</v>
      </c>
      <c r="E381" s="587">
        <v>0</v>
      </c>
      <c r="F381" s="587">
        <v>0</v>
      </c>
      <c r="G381" s="587">
        <v>0</v>
      </c>
      <c r="H381" s="89">
        <f t="shared" si="8"/>
        <v>474499</v>
      </c>
    </row>
    <row r="382" spans="2:8">
      <c r="B382" s="78"/>
      <c r="D382" s="8"/>
      <c r="E382" s="587"/>
      <c r="F382" s="8"/>
      <c r="G382" s="587"/>
      <c r="H382" s="89"/>
    </row>
    <row r="383" spans="2:8">
      <c r="B383" s="78" t="s">
        <v>913</v>
      </c>
      <c r="D383" s="8">
        <v>18942274</v>
      </c>
      <c r="E383" s="587">
        <v>0</v>
      </c>
      <c r="F383" s="476">
        <v>-5138886</v>
      </c>
      <c r="G383" s="587">
        <v>0</v>
      </c>
      <c r="H383" s="89">
        <f>+D383+E383+F383-G383</f>
        <v>13803388</v>
      </c>
    </row>
    <row r="384" spans="2:8" ht="12" thickBot="1">
      <c r="B384" s="192"/>
      <c r="D384" s="8"/>
      <c r="E384" s="78"/>
      <c r="F384" s="90"/>
      <c r="G384" s="78"/>
      <c r="H384" s="89"/>
    </row>
    <row r="385" spans="2:9" ht="12" thickBot="1">
      <c r="B385" s="575" t="s">
        <v>806</v>
      </c>
      <c r="D385" s="23">
        <f>SUM(D378:D384)</f>
        <v>32827634</v>
      </c>
      <c r="E385" s="598">
        <f>SUM(E378:E384)</f>
        <v>0</v>
      </c>
      <c r="F385" s="574">
        <f>SUM(F378:F384)</f>
        <v>-5138886</v>
      </c>
      <c r="G385" s="598">
        <f>SUM(G378:G384)</f>
        <v>0</v>
      </c>
      <c r="H385" s="569">
        <f t="shared" si="8"/>
        <v>27688748</v>
      </c>
    </row>
    <row r="386" spans="2:9" ht="12" thickBot="1">
      <c r="B386" s="564" t="s">
        <v>909</v>
      </c>
      <c r="D386" s="18"/>
      <c r="E386" s="18"/>
      <c r="F386" s="680"/>
      <c r="G386" s="18"/>
      <c r="H386" s="19">
        <f t="shared" si="8"/>
        <v>0</v>
      </c>
    </row>
    <row r="387" spans="2:9" ht="12" thickBot="1"/>
    <row r="388" spans="2:9" ht="32.25" thickBot="1">
      <c r="B388" s="314" t="s">
        <v>170</v>
      </c>
      <c r="D388" s="621" t="s">
        <v>920</v>
      </c>
      <c r="E388" s="178" t="s">
        <v>921</v>
      </c>
      <c r="F388" s="181" t="s">
        <v>922</v>
      </c>
      <c r="G388" s="178" t="s">
        <v>859</v>
      </c>
      <c r="H388" s="173" t="s">
        <v>923</v>
      </c>
      <c r="I388" s="173" t="s">
        <v>45</v>
      </c>
    </row>
    <row r="389" spans="2:9">
      <c r="B389" s="82" t="s">
        <v>912</v>
      </c>
      <c r="C389" s="31"/>
      <c r="D389" s="71"/>
      <c r="E389" s="82"/>
      <c r="F389" s="91"/>
      <c r="G389" s="82"/>
      <c r="H389" s="83"/>
      <c r="I389" s="83"/>
    </row>
    <row r="390" spans="2:9">
      <c r="B390" s="309" t="s">
        <v>394</v>
      </c>
      <c r="C390" s="35"/>
      <c r="D390" s="8">
        <v>6709384</v>
      </c>
      <c r="E390" s="587">
        <v>0</v>
      </c>
      <c r="F390" s="587">
        <v>0</v>
      </c>
      <c r="G390" s="139">
        <f>+D390+E390+F390</f>
        <v>6709384</v>
      </c>
      <c r="H390" s="587">
        <v>0</v>
      </c>
      <c r="I390" s="89">
        <f>+G390-H390</f>
        <v>6709384</v>
      </c>
    </row>
    <row r="391" spans="2:9">
      <c r="B391" s="309" t="s">
        <v>398</v>
      </c>
      <c r="C391" s="35"/>
      <c r="D391" s="8">
        <v>6701477</v>
      </c>
      <c r="E391" s="587">
        <v>0</v>
      </c>
      <c r="F391" s="587">
        <v>0</v>
      </c>
      <c r="G391" s="139">
        <f>+D391+E391+F391</f>
        <v>6701477</v>
      </c>
      <c r="H391" s="587">
        <v>0</v>
      </c>
      <c r="I391" s="89">
        <f>+G391-H391</f>
        <v>6701477</v>
      </c>
    </row>
    <row r="392" spans="2:9">
      <c r="B392" s="309" t="s">
        <v>399</v>
      </c>
      <c r="C392" s="35"/>
      <c r="D392" s="8">
        <v>474499</v>
      </c>
      <c r="E392" s="587">
        <v>0</v>
      </c>
      <c r="F392" s="587">
        <v>0</v>
      </c>
      <c r="G392" s="139">
        <f>+D392+E392+F392</f>
        <v>474499</v>
      </c>
      <c r="H392" s="587">
        <v>0</v>
      </c>
      <c r="I392" s="89">
        <f>+G392-H392</f>
        <v>474499</v>
      </c>
    </row>
    <row r="393" spans="2:9">
      <c r="B393" s="78"/>
      <c r="C393" s="35"/>
      <c r="D393" s="8"/>
      <c r="E393" s="587"/>
      <c r="F393" s="587"/>
      <c r="G393" s="139"/>
      <c r="H393" s="587"/>
      <c r="I393" s="89"/>
    </row>
    <row r="394" spans="2:9">
      <c r="B394" s="78" t="s">
        <v>913</v>
      </c>
      <c r="C394" s="35"/>
      <c r="D394" s="8">
        <v>13803388</v>
      </c>
      <c r="E394" s="587">
        <v>0</v>
      </c>
      <c r="F394" s="587">
        <v>0</v>
      </c>
      <c r="G394" s="139">
        <f>+D394+E394+F394</f>
        <v>13803388</v>
      </c>
      <c r="H394" s="587">
        <v>0</v>
      </c>
      <c r="I394" s="89">
        <f>+G394-H394</f>
        <v>13803388</v>
      </c>
    </row>
    <row r="395" spans="2:9" ht="12" thickBot="1">
      <c r="B395" s="77"/>
      <c r="C395" s="61"/>
      <c r="D395" s="69"/>
      <c r="E395" s="77"/>
      <c r="F395" s="92"/>
      <c r="G395" s="166"/>
      <c r="H395" s="74"/>
      <c r="I395" s="74"/>
    </row>
    <row r="397" spans="2:9" ht="12" thickBot="1">
      <c r="D397" s="1442" t="s">
        <v>247</v>
      </c>
      <c r="E397" s="1442"/>
    </row>
    <row r="398" spans="2:9" ht="12" thickBot="1">
      <c r="B398" s="315" t="s">
        <v>924</v>
      </c>
      <c r="C398" s="31"/>
      <c r="D398" s="622" t="s">
        <v>811</v>
      </c>
      <c r="E398" s="623" t="s">
        <v>812</v>
      </c>
    </row>
    <row r="399" spans="2:9">
      <c r="B399" s="82" t="s">
        <v>912</v>
      </c>
      <c r="C399" s="31"/>
      <c r="D399" s="546"/>
      <c r="E399" s="178"/>
    </row>
    <row r="400" spans="2:9">
      <c r="B400" s="309" t="s">
        <v>394</v>
      </c>
      <c r="C400" s="35"/>
      <c r="D400" s="597">
        <f>H379-I390</f>
        <v>0</v>
      </c>
      <c r="E400" s="597">
        <f>D379-D390</f>
        <v>0</v>
      </c>
    </row>
    <row r="401" spans="2:9">
      <c r="B401" s="309" t="s">
        <v>398</v>
      </c>
      <c r="C401" s="35"/>
      <c r="D401" s="597">
        <f>H380-I391</f>
        <v>0</v>
      </c>
      <c r="E401" s="597">
        <f>D380-D391</f>
        <v>0</v>
      </c>
    </row>
    <row r="402" spans="2:9">
      <c r="B402" s="309" t="s">
        <v>399</v>
      </c>
      <c r="C402" s="35"/>
      <c r="D402" s="597">
        <f>H381-I392</f>
        <v>0</v>
      </c>
      <c r="E402" s="597">
        <f>D381-D392</f>
        <v>0</v>
      </c>
    </row>
    <row r="403" spans="2:9">
      <c r="B403" s="78"/>
      <c r="C403" s="35"/>
      <c r="D403" s="597"/>
      <c r="E403" s="139"/>
    </row>
    <row r="404" spans="2:9">
      <c r="B404" s="78" t="s">
        <v>913</v>
      </c>
      <c r="C404" s="35"/>
      <c r="D404" s="597">
        <f>H383-I394</f>
        <v>0</v>
      </c>
      <c r="E404" s="139">
        <f>D383-D394</f>
        <v>5138886</v>
      </c>
    </row>
    <row r="405" spans="2:9" ht="12" thickBot="1">
      <c r="B405" s="77"/>
      <c r="C405" s="61"/>
      <c r="D405" s="532"/>
      <c r="E405" s="166"/>
    </row>
    <row r="406" spans="2:9" ht="12" thickBot="1">
      <c r="B406" s="575" t="s">
        <v>806</v>
      </c>
      <c r="D406" s="598">
        <f>SUM(D399:D405)</f>
        <v>0</v>
      </c>
      <c r="E406" s="23">
        <f>SUM(E399:E405)</f>
        <v>5138886</v>
      </c>
    </row>
    <row r="407" spans="2:9" ht="12" thickBot="1">
      <c r="B407" s="575" t="s">
        <v>909</v>
      </c>
      <c r="D407" s="18"/>
      <c r="E407" s="18"/>
    </row>
    <row r="408" spans="2:9">
      <c r="B408" s="690"/>
      <c r="D408" s="35"/>
      <c r="E408" s="35"/>
    </row>
    <row r="409" spans="2:9">
      <c r="B409" s="690"/>
      <c r="D409" s="35"/>
      <c r="E409" s="35"/>
    </row>
    <row r="410" spans="2:9" ht="21.75">
      <c r="B410" s="70" t="s">
        <v>49</v>
      </c>
    </row>
    <row r="411" spans="2:9">
      <c r="B411" s="70"/>
    </row>
    <row r="412" spans="2:9" ht="12" thickBot="1">
      <c r="B412" s="70"/>
      <c r="H412" s="1442" t="s">
        <v>247</v>
      </c>
      <c r="I412" s="1442"/>
    </row>
    <row r="413" spans="2:9" ht="32.25" thickBot="1">
      <c r="B413" s="189" t="s">
        <v>352</v>
      </c>
      <c r="D413" s="187" t="s">
        <v>847</v>
      </c>
      <c r="E413" s="85" t="s">
        <v>906</v>
      </c>
      <c r="F413" s="176" t="s">
        <v>39</v>
      </c>
      <c r="G413" s="85" t="s">
        <v>40</v>
      </c>
      <c r="H413" s="137" t="s">
        <v>907</v>
      </c>
      <c r="I413" s="188" t="s">
        <v>811</v>
      </c>
    </row>
    <row r="414" spans="2:9">
      <c r="B414" s="78" t="s">
        <v>41</v>
      </c>
      <c r="D414" s="609">
        <v>0</v>
      </c>
      <c r="E414" s="610"/>
      <c r="F414" s="611"/>
      <c r="G414" s="610"/>
      <c r="H414" s="612"/>
      <c r="I414" s="613">
        <f>+D414+E414+F414+G414-H414</f>
        <v>0</v>
      </c>
    </row>
    <row r="415" spans="2:9" ht="12" thickBot="1">
      <c r="B415" s="78" t="s">
        <v>879</v>
      </c>
      <c r="D415" s="599">
        <v>0</v>
      </c>
      <c r="E415" s="614"/>
      <c r="F415" s="603"/>
      <c r="G415" s="615"/>
      <c r="H415" s="616"/>
      <c r="I415" s="602">
        <f>+D415+E415+F415+G415-H415</f>
        <v>0</v>
      </c>
    </row>
    <row r="416" spans="2:9" ht="12" thickBot="1">
      <c r="B416" s="84" t="s">
        <v>806</v>
      </c>
      <c r="D416" s="601">
        <f t="shared" ref="D416:I416" si="9">+D414+D415</f>
        <v>0</v>
      </c>
      <c r="E416" s="601">
        <f t="shared" si="9"/>
        <v>0</v>
      </c>
      <c r="F416" s="601">
        <f t="shared" si="9"/>
        <v>0</v>
      </c>
      <c r="G416" s="601">
        <f t="shared" si="9"/>
        <v>0</v>
      </c>
      <c r="H416" s="601">
        <f t="shared" si="9"/>
        <v>0</v>
      </c>
      <c r="I416" s="601">
        <f t="shared" si="9"/>
        <v>0</v>
      </c>
    </row>
    <row r="417" spans="2:23" ht="12" thickBot="1">
      <c r="B417" s="84" t="s">
        <v>909</v>
      </c>
      <c r="D417" s="69"/>
      <c r="E417" s="69"/>
      <c r="F417" s="61"/>
      <c r="G417" s="69"/>
      <c r="H417" s="50"/>
      <c r="I417" s="50"/>
    </row>
    <row r="418" spans="2:23">
      <c r="B418" s="70"/>
    </row>
    <row r="419" spans="2:23">
      <c r="B419" s="70"/>
    </row>
    <row r="421" spans="2:23">
      <c r="B421" s="70" t="s">
        <v>50</v>
      </c>
    </row>
    <row r="422" spans="2:23" ht="21.75" hidden="1">
      <c r="R422" s="197"/>
      <c r="S422" s="197"/>
      <c r="T422" s="197"/>
      <c r="U422" s="197"/>
      <c r="V422" s="197"/>
      <c r="W422" s="198" t="s">
        <v>826</v>
      </c>
    </row>
    <row r="423" spans="2:23" ht="13.9" hidden="1" customHeight="1"/>
    <row r="424" spans="2:23" hidden="1">
      <c r="H424" s="90"/>
    </row>
    <row r="425" spans="2:23" hidden="1">
      <c r="H425" s="90"/>
    </row>
    <row r="426" spans="2:23" hidden="1">
      <c r="H426" s="90"/>
    </row>
    <row r="427" spans="2:23" hidden="1">
      <c r="H427" s="90"/>
    </row>
    <row r="428" spans="2:23" ht="12" thickBot="1">
      <c r="F428" s="1442" t="s">
        <v>247</v>
      </c>
      <c r="G428" s="1442"/>
      <c r="H428" s="90"/>
    </row>
    <row r="429" spans="2:23" ht="12" thickBot="1">
      <c r="B429" s="199"/>
      <c r="C429" s="199"/>
      <c r="D429" s="1431" t="s">
        <v>811</v>
      </c>
      <c r="E429" s="1432"/>
      <c r="F429" s="1431" t="s">
        <v>812</v>
      </c>
      <c r="G429" s="1432"/>
      <c r="H429" s="90"/>
    </row>
    <row r="430" spans="2:23">
      <c r="B430" s="200" t="s">
        <v>65</v>
      </c>
      <c r="C430" s="200"/>
      <c r="D430" s="201"/>
      <c r="E430" s="691"/>
      <c r="F430" s="689"/>
      <c r="G430" s="691"/>
      <c r="H430" s="90"/>
    </row>
    <row r="431" spans="2:23">
      <c r="B431" s="101" t="s">
        <v>63</v>
      </c>
      <c r="C431" s="101"/>
      <c r="D431" s="202"/>
      <c r="E431" s="193"/>
      <c r="F431" s="194"/>
      <c r="G431" s="193"/>
      <c r="H431" s="90"/>
    </row>
    <row r="432" spans="2:23">
      <c r="B432" s="113" t="s">
        <v>51</v>
      </c>
      <c r="C432" s="113"/>
      <c r="D432" s="202"/>
      <c r="E432" s="193">
        <v>35061819</v>
      </c>
      <c r="F432" s="194"/>
      <c r="G432" s="193">
        <v>36309392</v>
      </c>
      <c r="H432" s="90"/>
    </row>
    <row r="433" spans="2:8">
      <c r="B433" s="101" t="s">
        <v>64</v>
      </c>
      <c r="C433" s="101"/>
      <c r="D433" s="202"/>
      <c r="E433" s="193"/>
      <c r="F433" s="194"/>
      <c r="G433" s="193"/>
      <c r="H433" s="90"/>
    </row>
    <row r="434" spans="2:8">
      <c r="B434" s="101" t="s">
        <v>60</v>
      </c>
      <c r="C434" s="101"/>
      <c r="D434" s="202"/>
      <c r="E434" s="193"/>
      <c r="F434" s="194"/>
      <c r="G434" s="193"/>
      <c r="H434" s="90"/>
    </row>
    <row r="435" spans="2:8" ht="42">
      <c r="B435" s="113" t="s">
        <v>644</v>
      </c>
      <c r="C435" s="113"/>
      <c r="D435" s="202"/>
      <c r="E435" s="193">
        <v>31445045</v>
      </c>
      <c r="F435" s="194"/>
      <c r="G435" s="193">
        <v>31445045</v>
      </c>
      <c r="H435" s="90"/>
    </row>
    <row r="436" spans="2:8">
      <c r="B436" s="101" t="s">
        <v>61</v>
      </c>
      <c r="C436" s="101"/>
      <c r="D436" s="202"/>
      <c r="E436" s="193"/>
      <c r="F436" s="194"/>
      <c r="G436" s="193"/>
      <c r="H436" s="90"/>
    </row>
    <row r="437" spans="2:8" ht="15" customHeight="1">
      <c r="B437" s="195" t="s">
        <v>180</v>
      </c>
      <c r="C437" s="195"/>
      <c r="D437" s="202"/>
      <c r="E437" s="193"/>
      <c r="F437" s="194"/>
      <c r="G437" s="193"/>
      <c r="H437" s="90"/>
    </row>
    <row r="438" spans="2:8" ht="42">
      <c r="B438" s="113" t="s">
        <v>645</v>
      </c>
      <c r="C438" s="113"/>
      <c r="D438" s="194">
        <v>3796854880</v>
      </c>
      <c r="E438" s="193"/>
      <c r="F438" s="194">
        <v>1990000000</v>
      </c>
      <c r="G438" s="193"/>
      <c r="H438" s="90"/>
    </row>
    <row r="439" spans="2:8" ht="21">
      <c r="B439" s="195" t="s">
        <v>181</v>
      </c>
      <c r="C439" s="195"/>
      <c r="D439" s="202"/>
      <c r="E439" s="193"/>
      <c r="F439" s="194"/>
      <c r="G439" s="193"/>
      <c r="H439" s="90"/>
    </row>
    <row r="440" spans="2:8" ht="32.25" thickBot="1">
      <c r="B440" s="113" t="s">
        <v>646</v>
      </c>
      <c r="C440" s="113"/>
      <c r="D440" s="204">
        <v>130000</v>
      </c>
      <c r="E440" s="193">
        <f>+SUM(D438:D440)</f>
        <v>3796984880</v>
      </c>
      <c r="F440" s="194">
        <v>130000</v>
      </c>
      <c r="G440" s="193">
        <f>+SUM(F438:F440)</f>
        <v>1990130000</v>
      </c>
      <c r="H440" s="90"/>
    </row>
    <row r="441" spans="2:8">
      <c r="B441" s="101" t="s">
        <v>62</v>
      </c>
      <c r="C441" s="101"/>
      <c r="D441" s="194"/>
      <c r="E441" s="193"/>
      <c r="F441" s="194"/>
      <c r="G441" s="193"/>
      <c r="H441" s="90"/>
    </row>
    <row r="442" spans="2:8" ht="21">
      <c r="B442" s="195" t="s">
        <v>734</v>
      </c>
      <c r="C442" s="195"/>
      <c r="D442" s="194"/>
      <c r="E442" s="193"/>
      <c r="F442" s="194"/>
      <c r="G442" s="193"/>
      <c r="H442" s="90"/>
    </row>
    <row r="443" spans="2:8" ht="31.5">
      <c r="B443" s="113" t="s">
        <v>648</v>
      </c>
      <c r="C443" s="113"/>
      <c r="D443" s="194">
        <v>26000</v>
      </c>
      <c r="E443" s="193"/>
      <c r="F443" s="194">
        <v>26000</v>
      </c>
      <c r="G443" s="193"/>
      <c r="H443" s="90"/>
    </row>
    <row r="444" spans="2:8" ht="21.75" thickBot="1">
      <c r="B444" s="119" t="s">
        <v>179</v>
      </c>
      <c r="C444" s="113"/>
      <c r="D444" s="204">
        <v>25999</v>
      </c>
      <c r="E444" s="193"/>
      <c r="F444" s="194"/>
      <c r="G444" s="193"/>
      <c r="H444" s="90"/>
    </row>
    <row r="445" spans="2:8">
      <c r="B445" s="119"/>
      <c r="C445" s="113"/>
      <c r="D445" s="194">
        <f>D443-D444</f>
        <v>1</v>
      </c>
      <c r="E445" s="193"/>
      <c r="F445" s="194"/>
      <c r="G445" s="193"/>
      <c r="H445" s="90"/>
    </row>
    <row r="446" spans="2:8" ht="21">
      <c r="B446" s="156" t="s">
        <v>735</v>
      </c>
      <c r="C446" s="156"/>
      <c r="D446" s="194"/>
      <c r="E446" s="193"/>
      <c r="F446" s="194"/>
      <c r="G446" s="193"/>
      <c r="H446" s="90"/>
    </row>
    <row r="447" spans="2:8" ht="31.5">
      <c r="B447" s="113" t="s">
        <v>649</v>
      </c>
      <c r="C447" s="113"/>
      <c r="D447" s="194">
        <v>26000</v>
      </c>
      <c r="E447" s="193"/>
      <c r="F447" s="194">
        <v>26000</v>
      </c>
      <c r="G447" s="193"/>
      <c r="H447" s="90"/>
    </row>
    <row r="448" spans="2:8">
      <c r="B448" s="156" t="s">
        <v>736</v>
      </c>
      <c r="C448" s="156"/>
      <c r="D448" s="194"/>
      <c r="E448" s="193"/>
      <c r="F448" s="194"/>
      <c r="G448" s="193"/>
      <c r="H448" s="90"/>
    </row>
    <row r="449" spans="2:8" ht="42">
      <c r="B449" s="113" t="s">
        <v>650</v>
      </c>
      <c r="C449" s="113"/>
      <c r="D449" s="194">
        <v>156000000</v>
      </c>
      <c r="E449" s="193"/>
      <c r="F449" s="194">
        <v>156000000</v>
      </c>
      <c r="G449" s="193"/>
      <c r="H449" s="90"/>
    </row>
    <row r="450" spans="2:8">
      <c r="B450" s="156" t="s">
        <v>737</v>
      </c>
      <c r="C450" s="156"/>
      <c r="D450" s="194"/>
      <c r="E450" s="193"/>
      <c r="F450" s="194"/>
      <c r="G450" s="193"/>
      <c r="H450" s="90"/>
    </row>
    <row r="451" spans="2:8" ht="42">
      <c r="B451" s="113" t="s">
        <v>651</v>
      </c>
      <c r="C451" s="113"/>
      <c r="D451" s="194">
        <v>338000000</v>
      </c>
      <c r="E451" s="193"/>
      <c r="F451" s="194">
        <v>338000000</v>
      </c>
      <c r="G451" s="193"/>
      <c r="H451" s="90"/>
    </row>
    <row r="452" spans="2:8">
      <c r="B452" s="156" t="s">
        <v>738</v>
      </c>
      <c r="C452" s="156"/>
      <c r="D452" s="194"/>
      <c r="E452" s="193"/>
      <c r="F452" s="194"/>
      <c r="G452" s="193"/>
      <c r="H452" s="90"/>
    </row>
    <row r="453" spans="2:8" ht="42">
      <c r="B453" s="113" t="s">
        <v>652</v>
      </c>
      <c r="C453" s="113"/>
      <c r="D453" s="194">
        <v>25064000</v>
      </c>
      <c r="E453" s="193"/>
      <c r="F453" s="194">
        <v>25064000</v>
      </c>
      <c r="G453" s="193"/>
      <c r="H453" s="90"/>
    </row>
    <row r="454" spans="2:8" ht="12.75" customHeight="1">
      <c r="B454" s="101" t="s">
        <v>739</v>
      </c>
      <c r="C454" s="101"/>
      <c r="D454" s="194"/>
      <c r="E454" s="193"/>
      <c r="F454" s="194"/>
      <c r="G454" s="193"/>
      <c r="H454" s="90"/>
    </row>
    <row r="455" spans="2:8" ht="42">
      <c r="B455" s="113" t="s">
        <v>654</v>
      </c>
      <c r="C455" s="101"/>
      <c r="D455" s="194">
        <v>260000000</v>
      </c>
      <c r="E455" s="193"/>
      <c r="F455" s="194">
        <v>260000000</v>
      </c>
      <c r="G455" s="193"/>
      <c r="H455" s="90"/>
    </row>
    <row r="456" spans="2:8">
      <c r="B456" s="101" t="s">
        <v>740</v>
      </c>
      <c r="C456" s="101"/>
      <c r="D456" s="194"/>
      <c r="E456" s="193"/>
      <c r="F456" s="194"/>
      <c r="G456" s="193"/>
      <c r="H456" s="90"/>
    </row>
    <row r="457" spans="2:8" ht="32.25" thickBot="1">
      <c r="B457" s="113" t="s">
        <v>655</v>
      </c>
      <c r="C457" s="113"/>
      <c r="D457" s="204">
        <v>260000</v>
      </c>
      <c r="E457" s="193">
        <f>+SUM(D445:D457)</f>
        <v>779350001</v>
      </c>
      <c r="F457" s="204">
        <v>130000</v>
      </c>
      <c r="G457" s="193">
        <f>+SUM(F442:F457)</f>
        <v>779246000</v>
      </c>
      <c r="H457" s="90"/>
    </row>
    <row r="458" spans="2:8">
      <c r="B458" s="113"/>
      <c r="C458" s="113"/>
      <c r="D458" s="194"/>
      <c r="E458" s="193"/>
      <c r="F458" s="194"/>
      <c r="G458" s="193"/>
      <c r="H458" s="90"/>
    </row>
    <row r="459" spans="2:8">
      <c r="B459" s="101" t="s">
        <v>732</v>
      </c>
      <c r="C459" s="113"/>
      <c r="D459" s="194"/>
      <c r="E459" s="193"/>
      <c r="F459" s="194"/>
      <c r="G459" s="193"/>
      <c r="H459" s="90"/>
    </row>
    <row r="460" spans="2:8">
      <c r="B460" s="156" t="s">
        <v>66</v>
      </c>
      <c r="C460" s="113"/>
      <c r="D460" s="194"/>
      <c r="E460" s="193"/>
      <c r="F460" s="194"/>
      <c r="G460" s="193"/>
      <c r="H460" s="90"/>
    </row>
    <row r="461" spans="2:8" ht="42">
      <c r="B461" s="113" t="s">
        <v>647</v>
      </c>
      <c r="C461" s="113"/>
      <c r="D461" s="194">
        <v>47500000</v>
      </c>
      <c r="E461" s="193"/>
      <c r="F461" s="194">
        <v>47500000</v>
      </c>
      <c r="G461" s="193"/>
      <c r="H461" s="90"/>
    </row>
    <row r="462" spans="2:8" ht="21.75" thickBot="1">
      <c r="B462" s="119" t="s">
        <v>179</v>
      </c>
      <c r="C462" s="113"/>
      <c r="D462" s="204">
        <v>47499999</v>
      </c>
      <c r="E462" s="193"/>
      <c r="F462" s="204">
        <v>47499999</v>
      </c>
      <c r="G462" s="193"/>
      <c r="H462" s="90"/>
    </row>
    <row r="463" spans="2:8">
      <c r="B463" s="113"/>
      <c r="C463" s="113"/>
      <c r="D463" s="194">
        <f>+D461-D462</f>
        <v>1</v>
      </c>
      <c r="E463" s="193"/>
      <c r="F463" s="194">
        <f>+F461-F462</f>
        <v>1</v>
      </c>
      <c r="G463" s="193"/>
      <c r="H463" s="90"/>
    </row>
    <row r="464" spans="2:8">
      <c r="B464" s="101" t="s">
        <v>733</v>
      </c>
      <c r="C464" s="113"/>
      <c r="D464" s="194"/>
      <c r="E464" s="193"/>
      <c r="F464" s="194"/>
      <c r="G464" s="193"/>
      <c r="H464" s="90"/>
    </row>
    <row r="465" spans="2:22" ht="42.75" thickBot="1">
      <c r="B465" s="113" t="s">
        <v>653</v>
      </c>
      <c r="C465" s="113"/>
      <c r="D465" s="204">
        <v>30000000</v>
      </c>
      <c r="E465" s="193">
        <f>+D465+D463</f>
        <v>30000001</v>
      </c>
      <c r="F465" s="204">
        <v>30000000</v>
      </c>
      <c r="G465" s="193">
        <f>+F463+F465</f>
        <v>30000001</v>
      </c>
      <c r="H465" s="90"/>
    </row>
    <row r="466" spans="2:22">
      <c r="B466" s="113"/>
      <c r="C466" s="113"/>
      <c r="D466" s="194"/>
      <c r="E466" s="193"/>
      <c r="F466" s="194"/>
      <c r="G466" s="193"/>
      <c r="H466" s="90"/>
    </row>
    <row r="467" spans="2:22" ht="21">
      <c r="B467" s="101" t="s">
        <v>73</v>
      </c>
      <c r="C467" s="101"/>
      <c r="D467" s="194"/>
      <c r="E467" s="193"/>
      <c r="F467" s="194"/>
      <c r="G467" s="193"/>
      <c r="H467" s="90"/>
    </row>
    <row r="468" spans="2:22" ht="12.75" customHeight="1">
      <c r="B468" s="113" t="s">
        <v>656</v>
      </c>
      <c r="C468" s="113"/>
      <c r="D468" s="194"/>
      <c r="E468" s="193">
        <v>28200</v>
      </c>
      <c r="F468" s="194"/>
      <c r="G468" s="193">
        <v>28200</v>
      </c>
      <c r="H468" s="90"/>
    </row>
    <row r="469" spans="2:22">
      <c r="B469" s="101" t="s">
        <v>57</v>
      </c>
      <c r="C469" s="101"/>
      <c r="D469" s="194"/>
      <c r="E469" s="193"/>
      <c r="F469" s="194"/>
      <c r="G469" s="193"/>
      <c r="H469" s="90"/>
    </row>
    <row r="470" spans="2:22">
      <c r="B470" s="685" t="s">
        <v>58</v>
      </c>
      <c r="C470" s="685"/>
      <c r="D470" s="194"/>
      <c r="E470" s="193"/>
      <c r="F470" s="194"/>
      <c r="G470" s="193"/>
    </row>
    <row r="471" spans="2:22" ht="21">
      <c r="B471" s="196" t="s">
        <v>183</v>
      </c>
      <c r="C471" s="196"/>
      <c r="D471" s="593">
        <v>0</v>
      </c>
      <c r="E471" s="193"/>
      <c r="F471" s="194">
        <v>160000000</v>
      </c>
      <c r="G471" s="193"/>
    </row>
    <row r="472" spans="2:22" ht="24.75" customHeight="1">
      <c r="B472" s="196" t="s">
        <v>184</v>
      </c>
      <c r="C472" s="196"/>
      <c r="D472" s="593">
        <v>0</v>
      </c>
      <c r="E472" s="193"/>
      <c r="F472" s="194">
        <v>18767399</v>
      </c>
      <c r="G472" s="193"/>
    </row>
    <row r="473" spans="2:22" ht="15" customHeight="1" thickBot="1">
      <c r="B473" s="196" t="s">
        <v>185</v>
      </c>
      <c r="C473" s="196"/>
      <c r="D473" s="594">
        <v>0</v>
      </c>
      <c r="E473" s="595">
        <f>+SUM(D470:D473)</f>
        <v>0</v>
      </c>
      <c r="F473" s="204">
        <v>1806854880</v>
      </c>
      <c r="G473" s="193">
        <f>+SUM(F470:F473)</f>
        <v>1985622279</v>
      </c>
    </row>
    <row r="474" spans="2:22" ht="12" thickBot="1">
      <c r="B474" s="101" t="s">
        <v>59</v>
      </c>
      <c r="C474" s="101"/>
      <c r="D474" s="194"/>
      <c r="E474" s="596">
        <v>0</v>
      </c>
      <c r="F474" s="194"/>
      <c r="G474" s="596">
        <v>0</v>
      </c>
    </row>
    <row r="475" spans="2:22" ht="12" thickBot="1">
      <c r="B475" s="509" t="s">
        <v>806</v>
      </c>
      <c r="C475" s="205"/>
      <c r="D475" s="203"/>
      <c r="E475" s="577">
        <f>SUM(E430:E474)</f>
        <v>4672869946</v>
      </c>
      <c r="F475" s="576"/>
      <c r="G475" s="577">
        <f>SUM(G430:G474)</f>
        <v>4852780917</v>
      </c>
    </row>
    <row r="477" spans="2:22" ht="12">
      <c r="B477" s="208" t="s">
        <v>75</v>
      </c>
      <c r="C477" s="208"/>
      <c r="D477" s="208"/>
      <c r="E477" s="208"/>
      <c r="F477" s="208"/>
      <c r="G477" s="208"/>
      <c r="V477" s="117" t="s">
        <v>76</v>
      </c>
    </row>
    <row r="478" spans="2:22" ht="12.75" customHeight="1" thickBot="1">
      <c r="E478" s="1442" t="s">
        <v>247</v>
      </c>
      <c r="F478" s="1442"/>
      <c r="L478" s="117"/>
    </row>
    <row r="479" spans="2:22" ht="35.450000000000003" customHeight="1" thickBot="1">
      <c r="B479" s="206" t="s">
        <v>77</v>
      </c>
      <c r="C479" s="207"/>
      <c r="D479" s="213" t="s">
        <v>82</v>
      </c>
      <c r="E479" s="214" t="s">
        <v>83</v>
      </c>
      <c r="F479" s="682" t="s">
        <v>84</v>
      </c>
      <c r="I479" s="209"/>
      <c r="J479" s="209"/>
      <c r="K479" s="209"/>
      <c r="L479" s="209"/>
    </row>
    <row r="480" spans="2:22">
      <c r="B480" s="106" t="s">
        <v>78</v>
      </c>
      <c r="D480" s="465">
        <v>-216580000</v>
      </c>
      <c r="E480" s="624">
        <v>21710000</v>
      </c>
      <c r="F480" s="465">
        <v>-194870000</v>
      </c>
      <c r="I480" s="210"/>
      <c r="J480" s="35"/>
      <c r="K480" s="35"/>
      <c r="L480" s="35"/>
    </row>
    <row r="481" spans="2:12">
      <c r="B481" s="146" t="s">
        <v>194</v>
      </c>
      <c r="D481" s="587">
        <v>0</v>
      </c>
      <c r="E481" s="587">
        <v>0</v>
      </c>
      <c r="F481" s="587">
        <v>0</v>
      </c>
      <c r="I481" s="210"/>
      <c r="J481" s="35"/>
      <c r="K481" s="35"/>
      <c r="L481" s="35"/>
    </row>
    <row r="482" spans="2:12">
      <c r="B482" s="146" t="s">
        <v>186</v>
      </c>
      <c r="D482" s="476">
        <v>444720000</v>
      </c>
      <c r="E482" s="587">
        <v>363010000</v>
      </c>
      <c r="F482" s="8">
        <v>807730000</v>
      </c>
      <c r="I482" s="210"/>
      <c r="J482" s="35"/>
      <c r="K482" s="35"/>
      <c r="L482" s="35"/>
    </row>
    <row r="483" spans="2:12">
      <c r="B483" s="146" t="s">
        <v>79</v>
      </c>
      <c r="D483" s="476">
        <v>1720000</v>
      </c>
      <c r="E483" s="587">
        <v>-1720000</v>
      </c>
      <c r="F483" s="8">
        <v>0</v>
      </c>
      <c r="I483" s="210"/>
      <c r="J483" s="35"/>
      <c r="K483" s="35"/>
      <c r="L483" s="35"/>
    </row>
    <row r="484" spans="2:12">
      <c r="B484" s="146" t="s">
        <v>80</v>
      </c>
      <c r="D484" s="476">
        <v>16190000</v>
      </c>
      <c r="E484" s="587">
        <v>-7630000</v>
      </c>
      <c r="F484" s="8">
        <v>8560000</v>
      </c>
      <c r="I484" s="210"/>
      <c r="J484" s="35"/>
      <c r="K484" s="35"/>
      <c r="L484" s="35"/>
    </row>
    <row r="485" spans="2:12">
      <c r="B485" s="146" t="s">
        <v>81</v>
      </c>
      <c r="D485" s="476">
        <v>17880000</v>
      </c>
      <c r="E485" s="587">
        <v>-17880000</v>
      </c>
      <c r="F485" s="8">
        <v>0</v>
      </c>
      <c r="I485" s="210"/>
      <c r="J485" s="35"/>
      <c r="K485" s="35"/>
      <c r="L485" s="35"/>
    </row>
    <row r="486" spans="2:12">
      <c r="B486" s="146" t="s">
        <v>879</v>
      </c>
      <c r="D486" s="476">
        <v>71560000</v>
      </c>
      <c r="E486" s="587">
        <v>21980000</v>
      </c>
      <c r="F486" s="8">
        <v>93540000</v>
      </c>
      <c r="I486" s="210"/>
      <c r="J486" s="35"/>
      <c r="K486" s="35"/>
      <c r="L486" s="35"/>
    </row>
    <row r="487" spans="2:12" ht="12" thickBot="1">
      <c r="B487" s="146"/>
      <c r="D487" s="467"/>
      <c r="E487" s="587"/>
      <c r="F487" s="18"/>
      <c r="I487" s="210"/>
      <c r="J487" s="35"/>
      <c r="K487" s="35"/>
      <c r="L487" s="35"/>
    </row>
    <row r="488" spans="2:12" ht="12" thickBot="1">
      <c r="B488" s="516" t="s">
        <v>860</v>
      </c>
      <c r="C488" s="61"/>
      <c r="D488" s="578">
        <f>SUM(D480:D487)</f>
        <v>335490000</v>
      </c>
      <c r="E488" s="625">
        <f>SUM(E480:E487)</f>
        <v>379470000</v>
      </c>
      <c r="F488" s="570">
        <f>SUM(F480:F487)</f>
        <v>714960000</v>
      </c>
      <c r="I488" s="211"/>
      <c r="J488" s="35"/>
      <c r="K488" s="35"/>
      <c r="L488" s="35"/>
    </row>
    <row r="490" spans="2:12">
      <c r="B490" s="1" t="s">
        <v>85</v>
      </c>
    </row>
    <row r="491" spans="2:12" ht="12" thickBot="1">
      <c r="F491" s="1442" t="s">
        <v>247</v>
      </c>
      <c r="G491" s="1442"/>
    </row>
    <row r="492" spans="2:12" ht="12.75" customHeight="1" thickBot="1">
      <c r="B492" s="64"/>
      <c r="C492" s="80"/>
      <c r="D492" s="1443" t="s">
        <v>811</v>
      </c>
      <c r="E492" s="1444"/>
      <c r="F492" s="1445" t="s">
        <v>812</v>
      </c>
      <c r="G492" s="1444"/>
    </row>
    <row r="493" spans="2:12" hidden="1">
      <c r="B493" s="684" t="s">
        <v>94</v>
      </c>
      <c r="C493" s="35"/>
      <c r="D493" s="17"/>
      <c r="E493" s="542"/>
      <c r="F493" s="695"/>
      <c r="G493" s="542"/>
    </row>
    <row r="494" spans="2:12" hidden="1">
      <c r="B494" s="72" t="s">
        <v>86</v>
      </c>
      <c r="C494" s="35"/>
      <c r="D494" s="555">
        <v>0</v>
      </c>
      <c r="E494" s="542"/>
      <c r="F494" s="529">
        <v>0</v>
      </c>
      <c r="G494" s="542"/>
    </row>
    <row r="495" spans="2:12" hidden="1">
      <c r="B495" s="72" t="s">
        <v>87</v>
      </c>
      <c r="C495" s="35"/>
      <c r="D495" s="555">
        <v>0</v>
      </c>
      <c r="E495" s="542"/>
      <c r="F495" s="529">
        <v>0</v>
      </c>
      <c r="G495" s="542"/>
    </row>
    <row r="496" spans="2:12" ht="12" hidden="1" thickBot="1">
      <c r="B496" s="72" t="s">
        <v>88</v>
      </c>
      <c r="C496" s="35"/>
      <c r="D496" s="532">
        <v>0</v>
      </c>
      <c r="E496" s="542"/>
      <c r="F496" s="532">
        <v>0</v>
      </c>
      <c r="G496" s="542"/>
    </row>
    <row r="497" spans="2:7" hidden="1">
      <c r="B497" s="72" t="s">
        <v>89</v>
      </c>
      <c r="C497" s="35"/>
      <c r="D497" s="555">
        <f>+SUM(D494:D496)</f>
        <v>0</v>
      </c>
      <c r="E497" s="542"/>
      <c r="F497" s="555">
        <f>+SUM(F494:F496)</f>
        <v>0</v>
      </c>
      <c r="G497" s="542"/>
    </row>
    <row r="498" spans="2:7" ht="21.75" hidden="1" thickBot="1">
      <c r="B498" s="72" t="s">
        <v>92</v>
      </c>
      <c r="C498" s="35"/>
      <c r="D498" s="532">
        <v>0</v>
      </c>
      <c r="E498" s="530">
        <f>+D497-D498</f>
        <v>0</v>
      </c>
      <c r="F498" s="532">
        <v>0</v>
      </c>
      <c r="G498" s="530">
        <f>+F497-F498</f>
        <v>0</v>
      </c>
    </row>
    <row r="499" spans="2:7">
      <c r="B499" s="72"/>
      <c r="C499" s="35"/>
      <c r="D499" s="17"/>
      <c r="E499" s="542"/>
      <c r="F499" s="17"/>
      <c r="G499" s="542"/>
    </row>
    <row r="500" spans="2:7">
      <c r="B500" s="684" t="s">
        <v>712</v>
      </c>
      <c r="C500" s="35"/>
      <c r="D500" s="17"/>
      <c r="E500" s="542"/>
      <c r="F500" s="17"/>
      <c r="G500" s="542"/>
    </row>
    <row r="501" spans="2:7">
      <c r="B501" s="95" t="s">
        <v>96</v>
      </c>
      <c r="C501" s="35"/>
      <c r="D501" s="17">
        <v>8238297</v>
      </c>
      <c r="E501" s="542"/>
      <c r="F501" s="529">
        <v>0</v>
      </c>
      <c r="G501" s="542"/>
    </row>
    <row r="502" spans="2:7">
      <c r="B502" s="95" t="s">
        <v>97</v>
      </c>
      <c r="C502" s="35"/>
      <c r="D502" s="17">
        <v>78733407</v>
      </c>
      <c r="E502" s="542"/>
      <c r="F502" s="695">
        <v>86866027</v>
      </c>
      <c r="G502" s="542"/>
    </row>
    <row r="503" spans="2:7" ht="12" thickBot="1">
      <c r="B503" s="72" t="s">
        <v>98</v>
      </c>
      <c r="C503" s="35"/>
      <c r="D503" s="558">
        <v>36823250</v>
      </c>
      <c r="E503" s="263"/>
      <c r="F503" s="634">
        <v>36823250</v>
      </c>
      <c r="G503" s="542"/>
    </row>
    <row r="504" spans="2:7">
      <c r="B504" s="72" t="s">
        <v>93</v>
      </c>
      <c r="C504" s="35"/>
      <c r="D504" s="17">
        <f>+SUM(D501:D503)</f>
        <v>123794954</v>
      </c>
      <c r="E504" s="263"/>
      <c r="F504" s="262">
        <f>+SUM(F501:F503)</f>
        <v>123689277</v>
      </c>
      <c r="G504" s="542"/>
    </row>
    <row r="505" spans="2:7" ht="21.75" thickBot="1">
      <c r="B505" s="72" t="s">
        <v>92</v>
      </c>
      <c r="C505" s="35"/>
      <c r="D505" s="558">
        <v>36823250</v>
      </c>
      <c r="E505" s="695">
        <f>+D504-D505</f>
        <v>86971704</v>
      </c>
      <c r="F505" s="634">
        <v>36823250</v>
      </c>
      <c r="G505" s="542">
        <f>+F504-F505</f>
        <v>86866027</v>
      </c>
    </row>
    <row r="506" spans="2:7">
      <c r="B506" s="72"/>
      <c r="C506" s="35"/>
      <c r="D506" s="262"/>
      <c r="E506" s="263"/>
      <c r="F506" s="262"/>
      <c r="G506" s="542"/>
    </row>
    <row r="507" spans="2:7" ht="21">
      <c r="B507" s="684" t="s">
        <v>713</v>
      </c>
      <c r="C507" s="35"/>
      <c r="D507" s="262"/>
      <c r="E507" s="263"/>
      <c r="F507" s="262"/>
      <c r="G507" s="542"/>
    </row>
    <row r="508" spans="2:7">
      <c r="B508" s="95" t="s">
        <v>96</v>
      </c>
      <c r="C508" s="35"/>
      <c r="D508" s="17">
        <v>0</v>
      </c>
      <c r="E508" s="263"/>
      <c r="F508" s="269">
        <v>0</v>
      </c>
      <c r="G508" s="542"/>
    </row>
    <row r="509" spans="2:7">
      <c r="B509" s="95" t="s">
        <v>97</v>
      </c>
      <c r="C509" s="35"/>
      <c r="D509" s="17">
        <v>990569</v>
      </c>
      <c r="E509" s="263"/>
      <c r="F509" s="642">
        <v>246861</v>
      </c>
      <c r="G509" s="542"/>
    </row>
    <row r="510" spans="2:7" ht="12" thickBot="1">
      <c r="B510" s="72" t="s">
        <v>98</v>
      </c>
      <c r="C510" s="35"/>
      <c r="D510" s="558">
        <v>4847730</v>
      </c>
      <c r="E510" s="263"/>
      <c r="F510" s="264">
        <v>4847730</v>
      </c>
      <c r="G510" s="542"/>
    </row>
    <row r="511" spans="2:7">
      <c r="B511" s="72" t="s">
        <v>93</v>
      </c>
      <c r="C511" s="35"/>
      <c r="D511" s="17">
        <f>+SUM(D508:D510)</f>
        <v>5838299</v>
      </c>
      <c r="E511" s="263"/>
      <c r="F511" s="262">
        <f>+SUM(F508:F510)</f>
        <v>5094591</v>
      </c>
      <c r="G511" s="542"/>
    </row>
    <row r="512" spans="2:7" ht="21.75" thickBot="1">
      <c r="B512" s="72" t="s">
        <v>92</v>
      </c>
      <c r="C512" s="35"/>
      <c r="D512" s="558">
        <v>4847730</v>
      </c>
      <c r="E512" s="263">
        <f>+D511-D512</f>
        <v>990569</v>
      </c>
      <c r="F512" s="264">
        <v>4847730</v>
      </c>
      <c r="G512" s="542">
        <f>+F511-F512</f>
        <v>246861</v>
      </c>
    </row>
    <row r="513" spans="2:7">
      <c r="B513" s="72"/>
      <c r="C513" s="35"/>
      <c r="D513" s="17"/>
      <c r="E513" s="542"/>
      <c r="F513" s="17"/>
      <c r="G513" s="542"/>
    </row>
    <row r="514" spans="2:7">
      <c r="B514" s="684" t="s">
        <v>714</v>
      </c>
      <c r="C514" s="35"/>
      <c r="D514" s="17"/>
      <c r="E514" s="542"/>
      <c r="F514" s="17"/>
      <c r="G514" s="542"/>
    </row>
    <row r="515" spans="2:7">
      <c r="B515" s="95" t="s">
        <v>96</v>
      </c>
      <c r="C515" s="35"/>
      <c r="D515" s="17"/>
      <c r="E515" s="542"/>
      <c r="F515" s="695"/>
      <c r="G515" s="542"/>
    </row>
    <row r="516" spans="2:7" ht="24">
      <c r="B516" s="494" t="s">
        <v>563</v>
      </c>
      <c r="C516" s="35"/>
      <c r="D516" s="17">
        <v>210845850</v>
      </c>
      <c r="E516" s="542"/>
      <c r="F516" s="695">
        <v>33200000</v>
      </c>
      <c r="G516" s="542"/>
    </row>
    <row r="517" spans="2:7" ht="12">
      <c r="B517" s="494" t="s">
        <v>564</v>
      </c>
      <c r="C517" s="35"/>
      <c r="D517" s="17">
        <v>60863351</v>
      </c>
      <c r="E517" s="542"/>
      <c r="F517" s="695">
        <v>28323690</v>
      </c>
      <c r="G517" s="542"/>
    </row>
    <row r="518" spans="2:7" ht="12">
      <c r="B518" s="494" t="s">
        <v>565</v>
      </c>
      <c r="C518" s="35"/>
      <c r="D518" s="17">
        <v>173763192</v>
      </c>
      <c r="E518" s="542"/>
      <c r="F518" s="695">
        <v>170206615</v>
      </c>
      <c r="G518" s="542"/>
    </row>
    <row r="519" spans="2:7">
      <c r="B519" s="95" t="s">
        <v>97</v>
      </c>
      <c r="C519" s="35"/>
      <c r="D519" s="17"/>
      <c r="E519" s="542"/>
      <c r="F519" s="529"/>
      <c r="G519" s="542"/>
    </row>
    <row r="520" spans="2:7" ht="12">
      <c r="B520" s="494" t="s">
        <v>564</v>
      </c>
      <c r="C520" s="35"/>
      <c r="D520" s="17">
        <v>3361769</v>
      </c>
      <c r="E520" s="542"/>
      <c r="F520" s="695">
        <v>4718329</v>
      </c>
      <c r="G520" s="542"/>
    </row>
    <row r="521" spans="2:7" ht="12">
      <c r="B521" s="494" t="s">
        <v>565</v>
      </c>
      <c r="C521" s="35"/>
      <c r="D521" s="17">
        <v>49550988</v>
      </c>
      <c r="E521" s="542"/>
      <c r="F521" s="695">
        <v>67378931</v>
      </c>
      <c r="G521" s="542"/>
    </row>
    <row r="522" spans="2:7" ht="12">
      <c r="B522" s="494" t="s">
        <v>857</v>
      </c>
      <c r="C522" s="35"/>
      <c r="D522" s="17">
        <v>508712774</v>
      </c>
      <c r="E522" s="542"/>
      <c r="F522" s="695">
        <v>573871775</v>
      </c>
      <c r="G522" s="542"/>
    </row>
    <row r="523" spans="2:7" ht="12" thickBot="1">
      <c r="B523" s="72" t="s">
        <v>98</v>
      </c>
      <c r="C523" s="35"/>
      <c r="D523" s="544">
        <v>290950228</v>
      </c>
      <c r="E523" s="542"/>
      <c r="F523" s="544">
        <v>289991845</v>
      </c>
      <c r="G523" s="542"/>
    </row>
    <row r="524" spans="2:7">
      <c r="B524" s="72" t="s">
        <v>93</v>
      </c>
      <c r="C524" s="35"/>
      <c r="D524" s="17">
        <f>+SUM(D515:D523)</f>
        <v>1298048152</v>
      </c>
      <c r="E524" s="542"/>
      <c r="F524" s="17">
        <f>+SUM(F515:F523)</f>
        <v>1167691185</v>
      </c>
      <c r="G524" s="542"/>
    </row>
    <row r="525" spans="2:7" ht="21.75" thickBot="1">
      <c r="B525" s="72" t="s">
        <v>92</v>
      </c>
      <c r="C525" s="35"/>
      <c r="D525" s="544">
        <v>290950228</v>
      </c>
      <c r="E525" s="542">
        <f>+D524-D525</f>
        <v>1007097924</v>
      </c>
      <c r="F525" s="544">
        <v>289991845</v>
      </c>
      <c r="G525" s="263">
        <f>+F524-F525</f>
        <v>877699340</v>
      </c>
    </row>
    <row r="526" spans="2:7">
      <c r="B526" s="72"/>
      <c r="C526" s="35"/>
      <c r="D526" s="17"/>
      <c r="E526" s="542"/>
      <c r="F526" s="695"/>
      <c r="G526" s="263"/>
    </row>
    <row r="527" spans="2:7" ht="12" thickBot="1">
      <c r="B527" s="72"/>
      <c r="C527" s="35"/>
      <c r="D527" s="17"/>
      <c r="E527" s="12"/>
      <c r="F527" s="17"/>
      <c r="G527" s="265"/>
    </row>
    <row r="528" spans="2:7" ht="12" thickBot="1">
      <c r="B528" s="509" t="s">
        <v>860</v>
      </c>
      <c r="C528" s="61"/>
      <c r="D528" s="544"/>
      <c r="E528" s="4">
        <f>SUM(E493:E527)</f>
        <v>1095060197</v>
      </c>
      <c r="F528" s="678"/>
      <c r="G528" s="292">
        <f>SUM(G493:G527)</f>
        <v>964812228</v>
      </c>
    </row>
    <row r="530" spans="2:7" ht="36.75" hidden="1" customHeight="1">
      <c r="B530" s="1437" t="s">
        <v>927</v>
      </c>
      <c r="C530" s="1437"/>
      <c r="D530" s="1437"/>
      <c r="E530" s="1437"/>
      <c r="F530" s="1437"/>
      <c r="G530" s="1437"/>
    </row>
    <row r="533" spans="2:7">
      <c r="B533" s="70" t="s">
        <v>103</v>
      </c>
    </row>
    <row r="534" spans="2:7" ht="12" thickBot="1">
      <c r="B534" s="70"/>
      <c r="F534" s="1442" t="s">
        <v>247</v>
      </c>
      <c r="G534" s="1442"/>
    </row>
    <row r="535" spans="2:7" ht="15.75" customHeight="1" thickBot="1">
      <c r="B535" s="118"/>
      <c r="C535" s="80"/>
      <c r="D535" s="1443" t="s">
        <v>811</v>
      </c>
      <c r="E535" s="1444"/>
      <c r="F535" s="1443" t="s">
        <v>812</v>
      </c>
      <c r="G535" s="1444"/>
    </row>
    <row r="536" spans="2:7">
      <c r="B536" s="130" t="s">
        <v>942</v>
      </c>
      <c r="C536" s="35"/>
      <c r="D536" s="65"/>
      <c r="E536" s="40"/>
      <c r="F536" s="65"/>
      <c r="G536" s="40"/>
    </row>
    <row r="537" spans="2:7" ht="32.25">
      <c r="B537" s="169" t="s">
        <v>187</v>
      </c>
      <c r="C537" s="35"/>
      <c r="D537" s="17">
        <v>963281</v>
      </c>
      <c r="E537" s="542"/>
      <c r="F537" s="17">
        <v>1776557</v>
      </c>
      <c r="G537" s="542"/>
    </row>
    <row r="538" spans="2:7">
      <c r="B538" s="169" t="s">
        <v>188</v>
      </c>
      <c r="C538" s="35"/>
      <c r="D538" s="17">
        <v>21945838</v>
      </c>
      <c r="E538" s="542"/>
      <c r="F538" s="17">
        <v>26368061</v>
      </c>
      <c r="G538" s="542"/>
    </row>
    <row r="539" spans="2:7" ht="12" thickBot="1">
      <c r="B539" s="169" t="s">
        <v>189</v>
      </c>
      <c r="C539" s="35"/>
      <c r="D539" s="544">
        <v>1315862262</v>
      </c>
      <c r="E539" s="542"/>
      <c r="F539" s="544">
        <v>127308037</v>
      </c>
      <c r="G539" s="542"/>
    </row>
    <row r="540" spans="2:7">
      <c r="B540" s="119" t="s">
        <v>93</v>
      </c>
      <c r="C540" s="35"/>
      <c r="D540" s="17">
        <f>SUM(D537:D539)</f>
        <v>1338771381</v>
      </c>
      <c r="E540" s="542"/>
      <c r="F540" s="17">
        <f>SUM(F537:F539)</f>
        <v>155452655</v>
      </c>
      <c r="G540" s="542"/>
    </row>
    <row r="541" spans="2:7" ht="21.75" thickBot="1">
      <c r="B541" s="685" t="s">
        <v>257</v>
      </c>
      <c r="C541" s="35"/>
      <c r="D541" s="544">
        <v>1315862262</v>
      </c>
      <c r="E541" s="263">
        <f>+D540-D541</f>
        <v>22909119</v>
      </c>
      <c r="F541" s="544">
        <v>127308037</v>
      </c>
      <c r="G541" s="263">
        <f>+F540-F541</f>
        <v>28144618</v>
      </c>
    </row>
    <row r="542" spans="2:7" hidden="1">
      <c r="B542" s="101" t="s">
        <v>887</v>
      </c>
      <c r="C542" s="35"/>
      <c r="D542" s="17"/>
      <c r="E542" s="542"/>
      <c r="F542" s="17"/>
      <c r="G542" s="263"/>
    </row>
    <row r="543" spans="2:7" hidden="1">
      <c r="B543" s="169" t="s">
        <v>191</v>
      </c>
      <c r="C543" s="35"/>
      <c r="D543" s="555">
        <v>0</v>
      </c>
      <c r="E543" s="542"/>
      <c r="F543" s="555">
        <v>0</v>
      </c>
      <c r="G543" s="263"/>
    </row>
    <row r="544" spans="2:7" hidden="1">
      <c r="B544" s="169" t="s">
        <v>192</v>
      </c>
      <c r="C544" s="35"/>
      <c r="D544" s="555">
        <v>0</v>
      </c>
      <c r="E544" s="542"/>
      <c r="F544" s="555">
        <v>0</v>
      </c>
      <c r="G544" s="263"/>
    </row>
    <row r="545" spans="2:7" ht="12" hidden="1" thickBot="1">
      <c r="B545" s="119" t="s">
        <v>722</v>
      </c>
      <c r="C545" s="35"/>
      <c r="D545" s="532">
        <v>0</v>
      </c>
      <c r="E545" s="542"/>
      <c r="F545" s="532">
        <v>0</v>
      </c>
      <c r="G545" s="263"/>
    </row>
    <row r="546" spans="2:7" hidden="1">
      <c r="B546" s="119" t="s">
        <v>93</v>
      </c>
      <c r="C546" s="35"/>
      <c r="D546" s="555">
        <f>SUM(D543:D545)</f>
        <v>0</v>
      </c>
      <c r="E546" s="542"/>
      <c r="F546" s="555">
        <f>SUM(F543:F545)</f>
        <v>0</v>
      </c>
      <c r="G546" s="263"/>
    </row>
    <row r="547" spans="2:7" ht="21.75" hidden="1" thickBot="1">
      <c r="B547" s="685" t="s">
        <v>357</v>
      </c>
      <c r="C547" s="35"/>
      <c r="D547" s="532">
        <v>0</v>
      </c>
      <c r="E547" s="530">
        <f>+D546-D547</f>
        <v>0</v>
      </c>
      <c r="F547" s="532">
        <v>0</v>
      </c>
      <c r="G547" s="530">
        <f>+F546-F547</f>
        <v>0</v>
      </c>
    </row>
    <row r="548" spans="2:7" ht="12" thickBot="1">
      <c r="B548" s="685"/>
      <c r="C548" s="35"/>
      <c r="D548" s="17"/>
      <c r="E548" s="12"/>
      <c r="F548" s="17"/>
      <c r="G548" s="265"/>
    </row>
    <row r="549" spans="2:7" ht="12" thickBot="1">
      <c r="B549" s="509" t="s">
        <v>860</v>
      </c>
      <c r="C549" s="61"/>
      <c r="D549" s="544"/>
      <c r="E549" s="292">
        <f>+SUM(E536:E548)</f>
        <v>22909119</v>
      </c>
      <c r="F549" s="679"/>
      <c r="G549" s="292">
        <f>+SUM(G536:G548)</f>
        <v>28144618</v>
      </c>
    </row>
    <row r="551" spans="2:7" ht="33" customHeight="1">
      <c r="B551" s="1437" t="s">
        <v>943</v>
      </c>
      <c r="C551" s="1437"/>
      <c r="D551" s="1437"/>
      <c r="E551" s="1437"/>
      <c r="F551" s="1437"/>
      <c r="G551" s="1437"/>
    </row>
    <row r="552" spans="2:7" ht="12">
      <c r="B552" s="658"/>
    </row>
    <row r="553" spans="2:7">
      <c r="B553" s="110" t="s">
        <v>104</v>
      </c>
    </row>
    <row r="555" spans="2:7">
      <c r="B555" s="70" t="s">
        <v>105</v>
      </c>
    </row>
    <row r="557" spans="2:7" ht="12" thickBot="1">
      <c r="F557" s="1442" t="s">
        <v>247</v>
      </c>
      <c r="G557" s="1442"/>
    </row>
    <row r="558" spans="2:7" ht="12" thickBot="1">
      <c r="B558" s="111"/>
      <c r="C558" s="37"/>
      <c r="D558" s="1431" t="s">
        <v>811</v>
      </c>
      <c r="E558" s="1432"/>
      <c r="F558" s="1431" t="s">
        <v>812</v>
      </c>
      <c r="G558" s="1432"/>
    </row>
    <row r="559" spans="2:7">
      <c r="B559" s="33"/>
      <c r="C559" s="63"/>
      <c r="D559" s="33"/>
      <c r="E559" s="63"/>
      <c r="F559" s="33"/>
      <c r="G559" s="63"/>
    </row>
    <row r="560" spans="2:7">
      <c r="B560" s="101" t="s">
        <v>106</v>
      </c>
      <c r="C560" s="40"/>
      <c r="D560" s="65"/>
      <c r="E560" s="40"/>
      <c r="F560" s="65"/>
      <c r="G560" s="40"/>
    </row>
    <row r="561" spans="2:7">
      <c r="B561" s="115" t="s">
        <v>107</v>
      </c>
      <c r="C561" s="40"/>
      <c r="D561" s="588">
        <v>0</v>
      </c>
      <c r="E561" s="40"/>
      <c r="F561" s="588">
        <v>0</v>
      </c>
      <c r="G561" s="40"/>
    </row>
    <row r="562" spans="2:7">
      <c r="B562" s="115" t="s">
        <v>108</v>
      </c>
      <c r="C562" s="40"/>
      <c r="D562" s="588">
        <v>0</v>
      </c>
      <c r="E562" s="40"/>
      <c r="F562" s="588">
        <v>0</v>
      </c>
      <c r="G562" s="40"/>
    </row>
    <row r="563" spans="2:7">
      <c r="B563" s="115" t="s">
        <v>109</v>
      </c>
      <c r="C563" s="40"/>
      <c r="D563" s="588">
        <v>0</v>
      </c>
      <c r="E563" s="40"/>
      <c r="F563" s="588">
        <v>0</v>
      </c>
      <c r="G563" s="40"/>
    </row>
    <row r="564" spans="2:7" ht="14.25" customHeight="1" thickBot="1">
      <c r="B564" s="685" t="s">
        <v>110</v>
      </c>
      <c r="C564" s="40"/>
      <c r="D564" s="589">
        <v>0</v>
      </c>
      <c r="E564" s="590">
        <f>+SUM(D561:D564)</f>
        <v>0</v>
      </c>
      <c r="F564" s="589">
        <v>0</v>
      </c>
      <c r="G564" s="590">
        <f>+SUM(F561:F564)</f>
        <v>0</v>
      </c>
    </row>
    <row r="565" spans="2:7">
      <c r="B565" s="685"/>
      <c r="C565" s="40"/>
      <c r="D565" s="65"/>
      <c r="E565" s="40"/>
      <c r="F565" s="65"/>
      <c r="G565" s="590"/>
    </row>
    <row r="566" spans="2:7" ht="21">
      <c r="B566" s="101" t="s">
        <v>111</v>
      </c>
      <c r="C566" s="40"/>
      <c r="D566" s="65"/>
      <c r="E566" s="40">
        <v>0</v>
      </c>
      <c r="F566" s="65"/>
      <c r="G566" s="590">
        <v>0</v>
      </c>
    </row>
    <row r="567" spans="2:7">
      <c r="B567" s="685"/>
      <c r="C567" s="40"/>
      <c r="D567" s="65"/>
      <c r="E567" s="40"/>
      <c r="F567" s="65"/>
      <c r="G567" s="590"/>
    </row>
    <row r="568" spans="2:7">
      <c r="B568" s="101" t="s">
        <v>112</v>
      </c>
      <c r="C568" s="40"/>
      <c r="D568" s="65"/>
      <c r="E568" s="40"/>
      <c r="F568" s="65"/>
      <c r="G568" s="590"/>
    </row>
    <row r="569" spans="2:7">
      <c r="B569" s="115" t="s">
        <v>107</v>
      </c>
      <c r="C569" s="40"/>
      <c r="D569" s="588">
        <v>0</v>
      </c>
      <c r="E569" s="40"/>
      <c r="F569" s="588">
        <v>0</v>
      </c>
      <c r="G569" s="590"/>
    </row>
    <row r="570" spans="2:7">
      <c r="B570" s="115" t="s">
        <v>108</v>
      </c>
      <c r="C570" s="40"/>
      <c r="D570" s="588">
        <v>0</v>
      </c>
      <c r="E570" s="40" t="s">
        <v>371</v>
      </c>
      <c r="F570" s="588">
        <v>0</v>
      </c>
      <c r="G570" s="590"/>
    </row>
    <row r="571" spans="2:7">
      <c r="B571" s="115" t="s">
        <v>109</v>
      </c>
      <c r="C571" s="40"/>
      <c r="D571" s="588">
        <v>0</v>
      </c>
      <c r="E571" s="40"/>
      <c r="F571" s="588">
        <v>0</v>
      </c>
      <c r="G571" s="590"/>
    </row>
    <row r="572" spans="2:7" ht="14.25" customHeight="1" thickBot="1">
      <c r="B572" s="685" t="s">
        <v>110</v>
      </c>
      <c r="C572" s="40"/>
      <c r="D572" s="589">
        <v>0</v>
      </c>
      <c r="E572" s="590">
        <f>+SUM(D569:D572)</f>
        <v>0</v>
      </c>
      <c r="F572" s="589">
        <v>0</v>
      </c>
      <c r="G572" s="590">
        <f>+SUM(F569:F572)</f>
        <v>0</v>
      </c>
    </row>
    <row r="573" spans="2:7" ht="12" thickBot="1">
      <c r="B573" s="685"/>
      <c r="C573" s="40"/>
      <c r="D573" s="65"/>
      <c r="E573" s="591"/>
      <c r="F573" s="65"/>
      <c r="G573" s="591"/>
    </row>
    <row r="574" spans="2:7" ht="12" thickBot="1">
      <c r="B574" s="515" t="s">
        <v>806</v>
      </c>
      <c r="C574" s="40"/>
      <c r="D574" s="65"/>
      <c r="E574" s="592">
        <f>+SUM(E560:E573)</f>
        <v>0</v>
      </c>
      <c r="F574" s="579"/>
      <c r="G574" s="592">
        <f>+SUM(G560:G573)</f>
        <v>0</v>
      </c>
    </row>
    <row r="575" spans="2:7" ht="12.75" thickTop="1" thickBot="1">
      <c r="B575" s="60"/>
      <c r="C575" s="50"/>
      <c r="D575" s="60"/>
      <c r="E575" s="50"/>
      <c r="F575" s="60"/>
      <c r="G575" s="50"/>
    </row>
    <row r="577" spans="2:7" ht="34.5" hidden="1" customHeight="1">
      <c r="B577" s="1437" t="s">
        <v>928</v>
      </c>
      <c r="C577" s="1437"/>
      <c r="D577" s="1437"/>
      <c r="E577" s="1437"/>
      <c r="F577" s="1437"/>
      <c r="G577" s="1437"/>
    </row>
    <row r="579" spans="2:7">
      <c r="B579" s="70" t="s">
        <v>113</v>
      </c>
    </row>
    <row r="581" spans="2:7" ht="12" thickBot="1">
      <c r="F581" s="1442" t="s">
        <v>247</v>
      </c>
      <c r="G581" s="1442"/>
    </row>
    <row r="582" spans="2:7" ht="12" thickBot="1">
      <c r="B582" s="111"/>
      <c r="C582" s="37"/>
      <c r="D582" s="1431" t="s">
        <v>811</v>
      </c>
      <c r="E582" s="1432"/>
      <c r="F582" s="1433" t="s">
        <v>812</v>
      </c>
      <c r="G582" s="1432"/>
    </row>
    <row r="583" spans="2:7">
      <c r="B583" s="65"/>
      <c r="C583" s="40"/>
      <c r="D583" s="237"/>
      <c r="E583" s="243"/>
      <c r="F583" s="244"/>
      <c r="G583" s="243"/>
    </row>
    <row r="584" spans="2:7">
      <c r="B584" s="119" t="s">
        <v>115</v>
      </c>
      <c r="C584" s="40"/>
      <c r="D584" s="262">
        <v>93944027</v>
      </c>
      <c r="E584" s="263"/>
      <c r="F584" s="269">
        <v>63901576</v>
      </c>
      <c r="G584" s="263"/>
    </row>
    <row r="585" spans="2:7">
      <c r="B585" s="119" t="s">
        <v>116</v>
      </c>
      <c r="C585" s="40"/>
      <c r="D585" s="555">
        <v>0</v>
      </c>
      <c r="E585" s="263"/>
      <c r="F585" s="529">
        <v>0</v>
      </c>
      <c r="G585" s="263"/>
    </row>
    <row r="586" spans="2:7">
      <c r="B586" s="119" t="s">
        <v>117</v>
      </c>
      <c r="C586" s="40"/>
      <c r="D586" s="555">
        <v>0</v>
      </c>
      <c r="E586" s="263"/>
      <c r="F586" s="529">
        <v>0</v>
      </c>
      <c r="G586" s="263"/>
    </row>
    <row r="587" spans="2:7">
      <c r="B587" s="119" t="s">
        <v>118</v>
      </c>
      <c r="C587" s="40"/>
      <c r="D587" s="262">
        <v>9148887955</v>
      </c>
      <c r="E587" s="263"/>
      <c r="F587" s="269">
        <v>6415251031</v>
      </c>
      <c r="G587" s="263"/>
    </row>
    <row r="588" spans="2:7" ht="25.5" customHeight="1">
      <c r="B588" s="96" t="s">
        <v>944</v>
      </c>
      <c r="C588" s="40"/>
      <c r="D588" s="555"/>
      <c r="E588" s="263"/>
      <c r="F588" s="269"/>
      <c r="G588" s="263"/>
    </row>
    <row r="589" spans="2:7">
      <c r="B589" s="119" t="s">
        <v>119</v>
      </c>
      <c r="C589" s="40"/>
      <c r="D589" s="555">
        <v>0</v>
      </c>
      <c r="E589" s="263"/>
      <c r="F589" s="529">
        <v>0</v>
      </c>
      <c r="G589" s="263"/>
    </row>
    <row r="590" spans="2:7">
      <c r="B590" s="119" t="s">
        <v>120</v>
      </c>
      <c r="C590" s="40"/>
      <c r="D590" s="555">
        <v>0</v>
      </c>
      <c r="E590" s="263"/>
      <c r="F590" s="529">
        <v>0</v>
      </c>
      <c r="G590" s="263"/>
    </row>
    <row r="591" spans="2:7">
      <c r="B591" s="119" t="s">
        <v>121</v>
      </c>
      <c r="C591" s="40"/>
      <c r="D591" s="262">
        <v>1200000</v>
      </c>
      <c r="E591" s="263"/>
      <c r="F591" s="269">
        <v>575800</v>
      </c>
      <c r="G591" s="263"/>
    </row>
    <row r="592" spans="2:7" ht="12" thickBot="1">
      <c r="B592" s="119" t="s">
        <v>122</v>
      </c>
      <c r="C592" s="40"/>
      <c r="D592" s="532">
        <v>0</v>
      </c>
      <c r="E592" s="263">
        <f>+SUM(D584:D592)</f>
        <v>9244031982</v>
      </c>
      <c r="F592" s="532">
        <v>0</v>
      </c>
      <c r="G592" s="263">
        <f>+SUM(F584:F592)</f>
        <v>6479728407</v>
      </c>
    </row>
    <row r="593" spans="2:7" ht="12" thickBot="1">
      <c r="B593" s="72"/>
      <c r="C593" s="40"/>
      <c r="D593" s="262"/>
      <c r="E593" s="265"/>
      <c r="F593" s="269"/>
      <c r="G593" s="265"/>
    </row>
    <row r="594" spans="2:7" ht="12" thickBot="1">
      <c r="B594" s="515" t="s">
        <v>806</v>
      </c>
      <c r="C594" s="40"/>
      <c r="D594" s="262"/>
      <c r="E594" s="580">
        <f>SUM(E583:E593)</f>
        <v>9244031982</v>
      </c>
      <c r="F594" s="296"/>
      <c r="G594" s="580">
        <f>SUM(G583:G593)</f>
        <v>6479728407</v>
      </c>
    </row>
    <row r="595" spans="2:7" ht="12.75" thickTop="1" thickBot="1">
      <c r="B595" s="60"/>
      <c r="C595" s="50"/>
      <c r="D595" s="264"/>
      <c r="E595" s="265"/>
      <c r="F595" s="517"/>
      <c r="G595" s="265"/>
    </row>
    <row r="597" spans="2:7" hidden="1">
      <c r="B597" s="1436" t="s">
        <v>123</v>
      </c>
      <c r="C597" s="1436"/>
      <c r="D597" s="1436"/>
      <c r="E597" s="1436"/>
      <c r="F597" s="1436"/>
      <c r="G597" s="1436"/>
    </row>
    <row r="598" spans="2:7" hidden="1"/>
    <row r="599" spans="2:7" ht="12" hidden="1">
      <c r="B599" s="1436" t="s">
        <v>126</v>
      </c>
      <c r="C599" s="1436"/>
      <c r="D599" s="1436"/>
      <c r="E599" s="1436"/>
      <c r="F599" s="1436"/>
      <c r="G599" s="1436"/>
    </row>
    <row r="600" spans="2:7" hidden="1"/>
    <row r="601" spans="2:7" hidden="1">
      <c r="B601" s="1436" t="s">
        <v>124</v>
      </c>
      <c r="C601" s="1436"/>
      <c r="D601" s="1436"/>
      <c r="E601" s="1436"/>
      <c r="F601" s="1436"/>
      <c r="G601" s="1436"/>
    </row>
    <row r="602" spans="2:7" hidden="1"/>
    <row r="603" spans="2:7" hidden="1">
      <c r="B603" s="1436" t="s">
        <v>125</v>
      </c>
      <c r="C603" s="1436"/>
      <c r="D603" s="1436"/>
      <c r="E603" s="1436"/>
      <c r="F603" s="1436"/>
      <c r="G603" s="1436"/>
    </row>
    <row r="605" spans="2:7" ht="12" thickBot="1">
      <c r="F605" s="1442" t="s">
        <v>247</v>
      </c>
      <c r="G605" s="1442"/>
    </row>
    <row r="606" spans="2:7" ht="12" thickBot="1">
      <c r="B606" s="215" t="s">
        <v>127</v>
      </c>
      <c r="C606" s="37"/>
      <c r="D606" s="1431" t="s">
        <v>811</v>
      </c>
      <c r="E606" s="1432"/>
      <c r="F606" s="1433" t="s">
        <v>812</v>
      </c>
      <c r="G606" s="1432"/>
    </row>
    <row r="607" spans="2:7" ht="12" thickBot="1">
      <c r="B607" s="69"/>
      <c r="C607" s="63"/>
      <c r="D607" s="84" t="s">
        <v>128</v>
      </c>
      <c r="E607" s="682" t="s">
        <v>129</v>
      </c>
      <c r="F607" s="84" t="s">
        <v>128</v>
      </c>
      <c r="G607" s="682" t="s">
        <v>129</v>
      </c>
    </row>
    <row r="608" spans="2:7">
      <c r="B608" s="96" t="s">
        <v>130</v>
      </c>
      <c r="C608" s="40"/>
      <c r="D608" s="8">
        <v>3469</v>
      </c>
      <c r="E608" s="542">
        <v>9450180369</v>
      </c>
      <c r="F608" s="293">
        <v>8450</v>
      </c>
      <c r="G608" s="542">
        <f>17422330000-8005</f>
        <v>17422321995</v>
      </c>
    </row>
    <row r="609" spans="2:7">
      <c r="B609" s="96" t="s">
        <v>131</v>
      </c>
      <c r="C609" s="40"/>
      <c r="D609" s="587">
        <v>44.286999999999999</v>
      </c>
      <c r="E609" s="542">
        <v>124822017</v>
      </c>
      <c r="F609" s="587">
        <v>0</v>
      </c>
      <c r="G609" s="542">
        <v>2314031</v>
      </c>
    </row>
    <row r="610" spans="2:7">
      <c r="B610" s="96" t="s">
        <v>132</v>
      </c>
      <c r="C610" s="40"/>
      <c r="D610" s="640">
        <v>6903.5698000000002</v>
      </c>
      <c r="E610" s="542">
        <v>366274670</v>
      </c>
      <c r="F610" s="8">
        <v>76561</v>
      </c>
      <c r="G610" s="542">
        <v>4160340001</v>
      </c>
    </row>
    <row r="611" spans="2:7" ht="12" thickBot="1">
      <c r="B611" s="60"/>
      <c r="C611" s="50"/>
      <c r="D611" s="18"/>
      <c r="E611" s="12"/>
      <c r="F611" s="18"/>
      <c r="G611" s="12"/>
    </row>
    <row r="613" spans="2:7">
      <c r="B613" s="70" t="s">
        <v>133</v>
      </c>
    </row>
    <row r="614" spans="2:7" ht="12" thickBot="1">
      <c r="F614" s="1442" t="s">
        <v>247</v>
      </c>
      <c r="G614" s="1442"/>
    </row>
    <row r="615" spans="2:7" ht="12" thickBot="1">
      <c r="B615" s="120"/>
      <c r="C615" s="37"/>
      <c r="D615" s="1431" t="s">
        <v>811</v>
      </c>
      <c r="E615" s="1432"/>
      <c r="F615" s="1433" t="s">
        <v>812</v>
      </c>
      <c r="G615" s="1432"/>
    </row>
    <row r="616" spans="2:7" ht="14.25">
      <c r="B616" s="122"/>
      <c r="C616" s="31"/>
      <c r="D616" s="33"/>
      <c r="E616" s="63"/>
      <c r="F616" s="31"/>
      <c r="G616" s="63"/>
    </row>
    <row r="617" spans="2:7" ht="30.75" customHeight="1">
      <c r="B617" s="1448" t="s">
        <v>136</v>
      </c>
      <c r="C617" s="35"/>
      <c r="D617" s="262"/>
      <c r="E617" s="263"/>
      <c r="F617" s="269"/>
      <c r="G617" s="263"/>
    </row>
    <row r="618" spans="2:7" ht="3" customHeight="1">
      <c r="B618" s="1448"/>
      <c r="C618" s="35"/>
      <c r="D618" s="262"/>
      <c r="E618" s="263"/>
      <c r="F618" s="269"/>
      <c r="G618" s="263"/>
    </row>
    <row r="619" spans="2:7">
      <c r="B619" s="169" t="s">
        <v>195</v>
      </c>
      <c r="C619" s="35"/>
      <c r="D619" s="262">
        <v>1015721109</v>
      </c>
      <c r="E619" s="263"/>
      <c r="F619" s="269">
        <v>39504000</v>
      </c>
      <c r="G619" s="263"/>
    </row>
    <row r="620" spans="2:7">
      <c r="B620" s="169" t="s">
        <v>196</v>
      </c>
      <c r="C620" s="35"/>
      <c r="D620" s="262">
        <v>1161078290</v>
      </c>
      <c r="E620" s="263"/>
      <c r="F620" s="269">
        <v>635702962</v>
      </c>
      <c r="G620" s="263"/>
    </row>
    <row r="621" spans="2:7" ht="12" thickBot="1">
      <c r="B621" s="169" t="s">
        <v>197</v>
      </c>
      <c r="C621" s="35"/>
      <c r="D621" s="264">
        <v>546875283</v>
      </c>
      <c r="E621" s="263"/>
      <c r="F621" s="264">
        <v>625129430</v>
      </c>
      <c r="G621" s="263"/>
    </row>
    <row r="622" spans="2:7">
      <c r="B622" s="72"/>
      <c r="C622" s="35"/>
      <c r="D622" s="262">
        <f>+SUM(D618:D621)</f>
        <v>2723674682</v>
      </c>
      <c r="E622" s="263"/>
      <c r="F622" s="262">
        <f>+SUM(F618:F621)</f>
        <v>1300336392</v>
      </c>
      <c r="G622" s="263"/>
    </row>
    <row r="623" spans="2:7" ht="12" thickBot="1">
      <c r="B623" s="72" t="s">
        <v>134</v>
      </c>
      <c r="C623" s="35"/>
      <c r="D623" s="264">
        <v>546875283</v>
      </c>
      <c r="E623" s="263">
        <f>+D622-D623</f>
        <v>2176799399</v>
      </c>
      <c r="F623" s="264">
        <v>625129430</v>
      </c>
      <c r="G623" s="263">
        <f>+F622-F623</f>
        <v>675206962</v>
      </c>
    </row>
    <row r="624" spans="2:7">
      <c r="B624" s="72"/>
      <c r="C624" s="35"/>
      <c r="D624" s="262"/>
      <c r="E624" s="263"/>
      <c r="F624" s="262"/>
      <c r="G624" s="263"/>
    </row>
    <row r="625" spans="2:8">
      <c r="B625" s="684" t="s">
        <v>137</v>
      </c>
      <c r="C625" s="35"/>
      <c r="D625" s="262"/>
      <c r="E625" s="263"/>
      <c r="F625" s="262"/>
      <c r="G625" s="263"/>
    </row>
    <row r="626" spans="2:8">
      <c r="B626" s="169" t="s">
        <v>195</v>
      </c>
      <c r="C626" s="35"/>
      <c r="D626" s="262">
        <v>11479883568</v>
      </c>
      <c r="E626" s="263"/>
      <c r="F626" s="262">
        <v>3470725484</v>
      </c>
      <c r="G626" s="263"/>
    </row>
    <row r="627" spans="2:8">
      <c r="B627" s="169" t="s">
        <v>196</v>
      </c>
      <c r="C627" s="35"/>
      <c r="D627" s="262">
        <v>14049415842</v>
      </c>
      <c r="E627" s="263"/>
      <c r="F627" s="262">
        <v>21223270665</v>
      </c>
      <c r="G627" s="263"/>
    </row>
    <row r="628" spans="2:8" ht="12" thickBot="1">
      <c r="B628" s="169" t="s">
        <v>198</v>
      </c>
      <c r="C628" s="35"/>
      <c r="D628" s="532">
        <v>0</v>
      </c>
      <c r="E628" s="263"/>
      <c r="F628" s="532">
        <v>0</v>
      </c>
      <c r="G628" s="263"/>
    </row>
    <row r="629" spans="2:8">
      <c r="B629" s="72"/>
      <c r="C629" s="35"/>
      <c r="D629" s="262">
        <f>+SUM(D625:D628)</f>
        <v>25529299410</v>
      </c>
      <c r="E629" s="263"/>
      <c r="F629" s="262">
        <f>+SUM(F625:F628)</f>
        <v>24693996149</v>
      </c>
      <c r="G629" s="263"/>
    </row>
    <row r="630" spans="2:8" ht="12" thickBot="1">
      <c r="B630" s="72" t="s">
        <v>135</v>
      </c>
      <c r="C630" s="35"/>
      <c r="D630" s="532">
        <v>0</v>
      </c>
      <c r="E630" s="263">
        <f>+D629-D630</f>
        <v>25529299410</v>
      </c>
      <c r="F630" s="532">
        <v>0</v>
      </c>
      <c r="G630" s="263">
        <f>+F629-F630</f>
        <v>24693996149</v>
      </c>
    </row>
    <row r="631" spans="2:8" ht="12" thickBot="1">
      <c r="B631" s="72"/>
      <c r="C631" s="35"/>
      <c r="D631" s="262"/>
      <c r="E631" s="265"/>
      <c r="F631" s="262"/>
      <c r="G631" s="265"/>
    </row>
    <row r="632" spans="2:8" ht="12" thickBot="1">
      <c r="B632" s="515" t="s">
        <v>806</v>
      </c>
      <c r="C632" s="35"/>
      <c r="D632" s="262"/>
      <c r="E632" s="580">
        <f>SUM(E616:E631)</f>
        <v>27706098809</v>
      </c>
      <c r="F632" s="257"/>
      <c r="G632" s="580">
        <f>SUM(G616:G631)</f>
        <v>25369203111</v>
      </c>
    </row>
    <row r="633" spans="2:8" ht="12.75" thickTop="1" thickBot="1">
      <c r="B633" s="60"/>
      <c r="C633" s="61"/>
      <c r="D633" s="264"/>
      <c r="E633" s="265"/>
      <c r="F633" s="517"/>
      <c r="G633" s="265"/>
    </row>
    <row r="634" spans="2:8">
      <c r="B634" s="35"/>
      <c r="F634" s="301"/>
      <c r="G634" s="301"/>
      <c r="H634" s="301"/>
    </row>
    <row r="635" spans="2:8" ht="36.75" hidden="1" customHeight="1">
      <c r="B635" s="1437" t="s">
        <v>929</v>
      </c>
      <c r="C635" s="1437"/>
      <c r="D635" s="1437"/>
      <c r="E635" s="1437"/>
      <c r="F635" s="1437"/>
      <c r="G635" s="1437"/>
    </row>
    <row r="636" spans="2:8">
      <c r="B636" s="35"/>
    </row>
    <row r="637" spans="2:8" ht="24" customHeight="1">
      <c r="B637" s="110" t="s">
        <v>238</v>
      </c>
    </row>
    <row r="638" spans="2:8" ht="12" thickBot="1">
      <c r="F638" s="1442" t="s">
        <v>247</v>
      </c>
      <c r="G638" s="1442"/>
    </row>
    <row r="639" spans="2:8" ht="12" thickBot="1">
      <c r="B639" s="120"/>
      <c r="C639" s="37"/>
      <c r="D639" s="1431" t="s">
        <v>811</v>
      </c>
      <c r="E639" s="1432"/>
      <c r="F639" s="1433" t="s">
        <v>812</v>
      </c>
      <c r="G639" s="1432"/>
    </row>
    <row r="640" spans="2:8">
      <c r="B640" s="123" t="s">
        <v>138</v>
      </c>
      <c r="C640" s="35"/>
      <c r="D640" s="33"/>
      <c r="E640" s="63"/>
      <c r="F640" s="33"/>
      <c r="G640" s="63"/>
    </row>
    <row r="641" spans="2:7">
      <c r="B641" s="220" t="s">
        <v>199</v>
      </c>
      <c r="C641" s="35"/>
      <c r="D641" s="17"/>
      <c r="E641" s="542">
        <v>9115315</v>
      </c>
      <c r="F641" s="17"/>
      <c r="G641" s="542">
        <v>3065423</v>
      </c>
    </row>
    <row r="642" spans="2:7">
      <c r="B642" s="220" t="s">
        <v>200</v>
      </c>
      <c r="C642" s="35"/>
      <c r="D642" s="17"/>
      <c r="E642" s="542">
        <v>21153</v>
      </c>
      <c r="F642" s="17"/>
      <c r="G642" s="542">
        <v>221176</v>
      </c>
    </row>
    <row r="643" spans="2:7">
      <c r="B643" s="220" t="s">
        <v>201</v>
      </c>
      <c r="C643" s="35"/>
      <c r="D643" s="17"/>
      <c r="E643" s="542"/>
      <c r="F643" s="17"/>
      <c r="G643" s="542"/>
    </row>
    <row r="644" spans="2:7">
      <c r="B644" s="217" t="s">
        <v>139</v>
      </c>
      <c r="C644" s="218"/>
      <c r="D644" s="17">
        <v>2483085430</v>
      </c>
      <c r="E644" s="542"/>
      <c r="F644" s="17">
        <v>3017720660</v>
      </c>
      <c r="G644" s="542"/>
    </row>
    <row r="645" spans="2:7">
      <c r="B645" s="217" t="s">
        <v>140</v>
      </c>
      <c r="C645" s="218"/>
      <c r="D645" s="17">
        <v>174286461</v>
      </c>
      <c r="E645" s="542"/>
      <c r="F645" s="17">
        <v>12429038</v>
      </c>
      <c r="G645" s="542"/>
    </row>
    <row r="646" spans="2:7" ht="22.5" thickBot="1">
      <c r="B646" s="113" t="s">
        <v>141</v>
      </c>
      <c r="C646" s="219"/>
      <c r="D646" s="544">
        <v>2280110380</v>
      </c>
      <c r="E646" s="542">
        <f>+SUM(D644:D646)</f>
        <v>4937482271</v>
      </c>
      <c r="F646" s="544">
        <v>7721794982</v>
      </c>
      <c r="G646" s="542">
        <f>+SUM(F644:F646)</f>
        <v>10751944680</v>
      </c>
    </row>
    <row r="647" spans="2:7">
      <c r="B647" s="123"/>
      <c r="C647" s="35"/>
      <c r="D647" s="17"/>
      <c r="E647" s="542"/>
      <c r="F647" s="17"/>
      <c r="G647" s="542"/>
    </row>
    <row r="648" spans="2:7">
      <c r="B648" s="123" t="s">
        <v>237</v>
      </c>
      <c r="C648" s="35"/>
      <c r="D648" s="17"/>
      <c r="E648" s="542"/>
      <c r="F648" s="17"/>
      <c r="G648" s="542"/>
    </row>
    <row r="649" spans="2:7">
      <c r="B649" s="123"/>
      <c r="C649" s="35"/>
      <c r="D649" s="17"/>
      <c r="E649" s="542"/>
      <c r="F649" s="17"/>
      <c r="G649" s="542"/>
    </row>
    <row r="650" spans="2:7">
      <c r="B650" s="220" t="s">
        <v>711</v>
      </c>
      <c r="C650" s="216"/>
      <c r="D650" s="17">
        <v>2392797000</v>
      </c>
      <c r="E650" s="542"/>
      <c r="F650" s="17">
        <v>11489075502</v>
      </c>
      <c r="G650" s="542"/>
    </row>
    <row r="651" spans="2:7" ht="22.5" customHeight="1">
      <c r="B651" s="1446" t="s">
        <v>205</v>
      </c>
      <c r="C651" s="1447"/>
      <c r="D651" s="17">
        <v>21170485398</v>
      </c>
      <c r="E651" s="542"/>
      <c r="F651" s="17">
        <v>43643278506</v>
      </c>
      <c r="G651" s="542"/>
    </row>
    <row r="652" spans="2:7" ht="12" thickBot="1">
      <c r="B652" s="220" t="s">
        <v>206</v>
      </c>
      <c r="C652" s="216"/>
      <c r="D652" s="544">
        <v>21235785</v>
      </c>
      <c r="E652" s="542">
        <f>+SUM(D650:D652)</f>
        <v>23584518183</v>
      </c>
      <c r="F652" s="544">
        <v>1594763157</v>
      </c>
      <c r="G652" s="542">
        <f>+SUM(F650:F652)</f>
        <v>56727117165</v>
      </c>
    </row>
    <row r="653" spans="2:7" ht="12" thickBot="1">
      <c r="B653" s="65"/>
      <c r="C653" s="35"/>
      <c r="D653" s="17"/>
      <c r="E653" s="12"/>
      <c r="F653" s="17"/>
      <c r="G653" s="12"/>
    </row>
    <row r="654" spans="2:7" ht="12" thickBot="1">
      <c r="B654" s="514" t="s">
        <v>806</v>
      </c>
      <c r="C654" s="35"/>
      <c r="D654" s="17"/>
      <c r="E654" s="581">
        <f>SUM(E641:E653)</f>
        <v>28531136922</v>
      </c>
      <c r="F654" s="694"/>
      <c r="G654" s="581">
        <f>SUM(G641:G653)</f>
        <v>67482348444</v>
      </c>
    </row>
    <row r="655" spans="2:7" ht="12.75" thickTop="1" thickBot="1">
      <c r="B655" s="60"/>
      <c r="C655" s="61"/>
      <c r="D655" s="544"/>
      <c r="E655" s="12"/>
      <c r="F655" s="544"/>
      <c r="G655" s="12"/>
    </row>
    <row r="657" spans="2:7" ht="22.5" hidden="1" customHeight="1">
      <c r="B657" s="1437" t="s">
        <v>239</v>
      </c>
      <c r="C657" s="1437"/>
      <c r="D657" s="1437"/>
      <c r="E657" s="1437"/>
      <c r="F657" s="1437"/>
      <c r="G657" s="1437"/>
    </row>
    <row r="659" spans="2:7" ht="21.75">
      <c r="B659" s="110" t="s">
        <v>240</v>
      </c>
    </row>
    <row r="660" spans="2:7" ht="12" thickBot="1">
      <c r="F660" s="1442" t="s">
        <v>247</v>
      </c>
      <c r="G660" s="1442"/>
    </row>
    <row r="661" spans="2:7" ht="12" thickBot="1">
      <c r="B661" s="120"/>
      <c r="C661" s="37"/>
      <c r="D661" s="1431" t="s">
        <v>811</v>
      </c>
      <c r="E661" s="1432"/>
      <c r="F661" s="1433" t="s">
        <v>812</v>
      </c>
      <c r="G661" s="1432"/>
    </row>
    <row r="662" spans="2:7" ht="21">
      <c r="B662" s="124" t="s">
        <v>241</v>
      </c>
      <c r="C662" s="223"/>
      <c r="D662" s="17"/>
      <c r="E662" s="530">
        <v>0</v>
      </c>
      <c r="F662" s="17"/>
      <c r="G662" s="530">
        <v>0</v>
      </c>
    </row>
    <row r="663" spans="2:7" hidden="1">
      <c r="B663" s="125" t="s">
        <v>207</v>
      </c>
      <c r="C663" s="223"/>
      <c r="D663" s="555">
        <v>0</v>
      </c>
      <c r="E663" s="542"/>
      <c r="F663" s="555">
        <v>0</v>
      </c>
      <c r="G663" s="542"/>
    </row>
    <row r="664" spans="2:7" hidden="1">
      <c r="B664" s="125" t="s">
        <v>208</v>
      </c>
      <c r="C664" s="223"/>
      <c r="D664" s="555">
        <v>0</v>
      </c>
      <c r="E664" s="542"/>
      <c r="F664" s="555">
        <v>0</v>
      </c>
      <c r="G664" s="542"/>
    </row>
    <row r="665" spans="2:7" ht="12" hidden="1" thickBot="1">
      <c r="B665" s="125" t="s">
        <v>209</v>
      </c>
      <c r="C665" s="223"/>
      <c r="D665" s="532">
        <v>0</v>
      </c>
      <c r="E665" s="542"/>
      <c r="F665" s="532">
        <v>0</v>
      </c>
      <c r="G665" s="542"/>
    </row>
    <row r="666" spans="2:7" hidden="1">
      <c r="B666" s="112"/>
      <c r="C666" s="223"/>
      <c r="D666" s="555">
        <f>+SUM(D663:D665)</f>
        <v>0</v>
      </c>
      <c r="E666" s="542"/>
      <c r="F666" s="555">
        <f>+SUM(F663:F665)</f>
        <v>0</v>
      </c>
      <c r="G666" s="542"/>
    </row>
    <row r="667" spans="2:7" ht="21.75" hidden="1" thickBot="1">
      <c r="B667" s="119" t="s">
        <v>211</v>
      </c>
      <c r="C667" s="221"/>
      <c r="D667" s="532">
        <v>0</v>
      </c>
      <c r="E667" s="530">
        <f>+D666-D667</f>
        <v>0</v>
      </c>
      <c r="F667" s="532">
        <v>0</v>
      </c>
      <c r="G667" s="530">
        <f>+F666-F667</f>
        <v>0</v>
      </c>
    </row>
    <row r="668" spans="2:7">
      <c r="B668" s="119"/>
      <c r="C668" s="221"/>
      <c r="D668" s="555"/>
      <c r="E668" s="530"/>
      <c r="F668" s="555"/>
      <c r="G668" s="530"/>
    </row>
    <row r="669" spans="2:7">
      <c r="B669" s="124" t="s">
        <v>242</v>
      </c>
      <c r="C669" s="223"/>
      <c r="D669" s="17"/>
      <c r="E669" s="542"/>
      <c r="F669" s="17"/>
      <c r="G669" s="542"/>
    </row>
    <row r="670" spans="2:7">
      <c r="B670" s="169" t="s">
        <v>215</v>
      </c>
      <c r="C670" s="224"/>
      <c r="D670" s="17">
        <v>1188126320</v>
      </c>
      <c r="E670" s="542"/>
      <c r="F670" s="17">
        <v>200042930</v>
      </c>
      <c r="G670" s="542"/>
    </row>
    <row r="671" spans="2:7" ht="12" thickBot="1">
      <c r="B671" s="119" t="s">
        <v>243</v>
      </c>
      <c r="C671" s="224"/>
      <c r="D671" s="544">
        <v>7005842</v>
      </c>
      <c r="E671" s="542"/>
      <c r="F671" s="634">
        <v>34910725</v>
      </c>
      <c r="G671" s="542"/>
    </row>
    <row r="672" spans="2:7">
      <c r="B672" s="119" t="s">
        <v>244</v>
      </c>
      <c r="C672" s="224"/>
      <c r="D672" s="17"/>
      <c r="E672" s="542">
        <f>+D670-D671</f>
        <v>1181120478</v>
      </c>
      <c r="F672" s="17"/>
      <c r="G672" s="542">
        <f>+F670-F671</f>
        <v>165132205</v>
      </c>
    </row>
    <row r="673" spans="2:7">
      <c r="B673" s="169" t="s">
        <v>216</v>
      </c>
      <c r="C673" s="224"/>
      <c r="D673" s="17"/>
      <c r="E673" s="542"/>
      <c r="F673" s="17"/>
      <c r="G673" s="542"/>
    </row>
    <row r="674" spans="2:7">
      <c r="B674" s="119" t="s">
        <v>244</v>
      </c>
      <c r="C674" s="224"/>
      <c r="D674" s="17">
        <v>39239963144</v>
      </c>
      <c r="E674" s="542"/>
      <c r="F674" s="262">
        <v>44675689283</v>
      </c>
      <c r="G674" s="542"/>
    </row>
    <row r="675" spans="2:7">
      <c r="B675" s="161" t="s">
        <v>245</v>
      </c>
      <c r="C675" s="224"/>
      <c r="D675" s="17">
        <v>2135672965</v>
      </c>
      <c r="E675" s="542"/>
      <c r="F675" s="17">
        <v>17896157314</v>
      </c>
      <c r="G675" s="542"/>
    </row>
    <row r="676" spans="2:7" ht="12" thickBot="1">
      <c r="B676" s="161" t="s">
        <v>246</v>
      </c>
      <c r="C676" s="224"/>
      <c r="D676" s="544">
        <v>176545860</v>
      </c>
      <c r="E676" s="542"/>
      <c r="F676" s="544">
        <v>178270743</v>
      </c>
      <c r="G676" s="542"/>
    </row>
    <row r="677" spans="2:7">
      <c r="B677" s="212"/>
      <c r="C677" s="224"/>
      <c r="D677" s="17">
        <f>+SUM(D674:D676)</f>
        <v>41552181969</v>
      </c>
      <c r="E677" s="542"/>
      <c r="F677" s="17">
        <f>+SUM(F674:F676)</f>
        <v>62750117340</v>
      </c>
      <c r="G677" s="542"/>
    </row>
    <row r="678" spans="2:7" ht="21.75" thickBot="1">
      <c r="B678" s="119" t="s">
        <v>210</v>
      </c>
      <c r="C678" s="221"/>
      <c r="D678" s="544">
        <v>176545860</v>
      </c>
      <c r="E678" s="542">
        <f>+D677-D678</f>
        <v>41375636109</v>
      </c>
      <c r="F678" s="544">
        <v>178270743</v>
      </c>
      <c r="G678" s="542">
        <f>+F677-F678</f>
        <v>62571846597</v>
      </c>
    </row>
    <row r="679" spans="2:7">
      <c r="B679" s="119"/>
      <c r="C679" s="224"/>
      <c r="D679" s="17"/>
      <c r="E679" s="542"/>
      <c r="F679" s="17"/>
      <c r="G679" s="542"/>
    </row>
    <row r="680" spans="2:7">
      <c r="B680" s="169" t="s">
        <v>217</v>
      </c>
      <c r="C680" s="224"/>
      <c r="D680" s="17"/>
      <c r="E680" s="542"/>
      <c r="F680" s="17"/>
      <c r="G680" s="542"/>
    </row>
    <row r="681" spans="2:7">
      <c r="B681" s="161" t="s">
        <v>213</v>
      </c>
      <c r="C681" s="224"/>
      <c r="D681" s="17">
        <v>256098</v>
      </c>
      <c r="E681" s="542"/>
      <c r="F681" s="17">
        <v>10603756</v>
      </c>
      <c r="G681" s="542"/>
    </row>
    <row r="682" spans="2:7">
      <c r="B682" s="161" t="s">
        <v>212</v>
      </c>
      <c r="C682" s="224"/>
      <c r="D682" s="17">
        <v>308796050</v>
      </c>
      <c r="E682" s="542"/>
      <c r="F682" s="17">
        <v>607928816</v>
      </c>
      <c r="G682" s="542"/>
    </row>
    <row r="683" spans="2:7" ht="12" thickBot="1">
      <c r="B683" s="161" t="s">
        <v>214</v>
      </c>
      <c r="C683" s="224"/>
      <c r="D683" s="544">
        <v>89962522</v>
      </c>
      <c r="E683" s="542"/>
      <c r="F683" s="544">
        <v>80640171</v>
      </c>
      <c r="G683" s="542"/>
    </row>
    <row r="684" spans="2:7">
      <c r="B684" s="212"/>
      <c r="C684" s="224"/>
      <c r="D684" s="17">
        <f>SUM(D681:D683)</f>
        <v>399014670</v>
      </c>
      <c r="E684" s="542"/>
      <c r="F684" s="17">
        <f>+SUM(F681:F683)</f>
        <v>699172743</v>
      </c>
      <c r="G684" s="542"/>
    </row>
    <row r="685" spans="2:7" ht="21.75" thickBot="1">
      <c r="B685" s="119" t="s">
        <v>210</v>
      </c>
      <c r="C685" s="221"/>
      <c r="D685" s="544">
        <v>89962522</v>
      </c>
      <c r="E685" s="542">
        <f>+D684-D685</f>
        <v>309052148</v>
      </c>
      <c r="F685" s="544">
        <v>80640171</v>
      </c>
      <c r="G685" s="542">
        <f>+F684-F685</f>
        <v>618532572</v>
      </c>
    </row>
    <row r="686" spans="2:7" ht="21.75">
      <c r="B686" s="169" t="s">
        <v>218</v>
      </c>
      <c r="C686" s="222"/>
      <c r="D686" s="17"/>
      <c r="E686" s="542"/>
      <c r="F686" s="17"/>
      <c r="G686" s="542"/>
    </row>
    <row r="687" spans="2:7">
      <c r="B687" s="161" t="s">
        <v>212</v>
      </c>
      <c r="C687" s="224"/>
      <c r="D687" s="17"/>
      <c r="E687" s="542">
        <v>1326094882</v>
      </c>
      <c r="F687" s="17"/>
      <c r="G687" s="542">
        <v>2040222915</v>
      </c>
    </row>
    <row r="688" spans="2:7" ht="12" thickBot="1">
      <c r="B688" s="113"/>
      <c r="C688" s="223"/>
      <c r="D688" s="17"/>
      <c r="E688" s="12"/>
      <c r="F688" s="17"/>
      <c r="G688" s="12"/>
    </row>
    <row r="689" spans="2:8" ht="12" thickBot="1">
      <c r="B689" s="509" t="s">
        <v>806</v>
      </c>
      <c r="C689" s="225"/>
      <c r="D689" s="544"/>
      <c r="E689" s="4">
        <f>SUM(E662:E688)</f>
        <v>44191903617</v>
      </c>
      <c r="F689" s="679"/>
      <c r="G689" s="4">
        <f>SUM(G662:G688)</f>
        <v>65395734289</v>
      </c>
    </row>
    <row r="690" spans="2:8">
      <c r="G690" s="301">
        <f>G528+G689-1985622279</f>
        <v>64374924238</v>
      </c>
      <c r="H690" s="301">
        <f>G690-23458285104</f>
        <v>40916639134</v>
      </c>
    </row>
    <row r="691" spans="2:8" ht="35.25" hidden="1" customHeight="1">
      <c r="B691" s="1449" t="s">
        <v>931</v>
      </c>
      <c r="C691" s="1449"/>
      <c r="D691" s="1449"/>
      <c r="E691" s="1449"/>
      <c r="F691" s="1449"/>
      <c r="G691" s="1449"/>
    </row>
    <row r="693" spans="2:8">
      <c r="B693" s="1450" t="s">
        <v>249</v>
      </c>
      <c r="C693" s="1451"/>
      <c r="D693" s="1451"/>
      <c r="E693" s="1451"/>
      <c r="F693" s="1451"/>
      <c r="G693" s="1451"/>
    </row>
    <row r="695" spans="2:8" ht="12" thickBot="1">
      <c r="F695" s="1442" t="s">
        <v>247</v>
      </c>
      <c r="G695" s="1442"/>
    </row>
    <row r="696" spans="2:8" ht="12" thickBot="1">
      <c r="B696" s="120"/>
      <c r="C696" s="37"/>
      <c r="D696" s="1431" t="s">
        <v>811</v>
      </c>
      <c r="E696" s="1432"/>
      <c r="F696" s="1433" t="s">
        <v>812</v>
      </c>
      <c r="G696" s="1432"/>
    </row>
    <row r="697" spans="2:8">
      <c r="B697" s="88" t="s">
        <v>250</v>
      </c>
      <c r="C697" s="31"/>
      <c r="D697" s="546">
        <v>334487700</v>
      </c>
      <c r="E697" s="543"/>
      <c r="F697" s="546">
        <v>724650941</v>
      </c>
      <c r="G697" s="543"/>
    </row>
    <row r="698" spans="2:8" ht="21.75" thickBot="1">
      <c r="B698" s="685" t="s">
        <v>930</v>
      </c>
      <c r="C698" s="35"/>
      <c r="D698" s="544">
        <v>9941277057</v>
      </c>
      <c r="E698" s="542"/>
      <c r="F698" s="544">
        <v>21584976027</v>
      </c>
      <c r="G698" s="542"/>
    </row>
    <row r="699" spans="2:8">
      <c r="B699" s="72"/>
      <c r="C699" s="35"/>
      <c r="D699" s="17">
        <f>+D697+D698</f>
        <v>10275764757</v>
      </c>
      <c r="E699" s="542"/>
      <c r="F699" s="17">
        <f>+F697+F698</f>
        <v>22309626968</v>
      </c>
      <c r="G699" s="542"/>
    </row>
    <row r="700" spans="2:8" ht="12" thickBot="1">
      <c r="B700" s="72" t="s">
        <v>251</v>
      </c>
      <c r="C700" s="35"/>
      <c r="D700" s="532">
        <v>0</v>
      </c>
      <c r="E700" s="542">
        <f>+D699-D700</f>
        <v>10275764757</v>
      </c>
      <c r="F700" s="532">
        <v>0</v>
      </c>
      <c r="G700" s="542">
        <f>+F699-F700</f>
        <v>22309626968</v>
      </c>
    </row>
    <row r="701" spans="2:8" ht="12" thickBot="1">
      <c r="B701" s="72"/>
      <c r="C701" s="35"/>
      <c r="D701" s="17"/>
      <c r="E701" s="12"/>
      <c r="F701" s="17"/>
      <c r="G701" s="12"/>
    </row>
    <row r="702" spans="2:8" ht="12" thickBot="1">
      <c r="B702" s="75" t="s">
        <v>806</v>
      </c>
      <c r="C702" s="61"/>
      <c r="D702" s="544"/>
      <c r="E702" s="4">
        <f>SUM(E700:E701)</f>
        <v>10275764757</v>
      </c>
      <c r="F702" s="679"/>
      <c r="G702" s="4">
        <f>SUM(G700:G701)</f>
        <v>22309626968</v>
      </c>
    </row>
    <row r="704" spans="2:8" ht="14.25">
      <c r="B704" s="102"/>
    </row>
    <row r="705" spans="2:7" hidden="1">
      <c r="B705" s="1450" t="s">
        <v>252</v>
      </c>
      <c r="C705" s="1451"/>
      <c r="D705" s="1451"/>
      <c r="E705" s="1451"/>
      <c r="F705" s="1451"/>
      <c r="G705" s="1451"/>
    </row>
    <row r="706" spans="2:7" hidden="1"/>
    <row r="707" spans="2:7" hidden="1">
      <c r="B707" s="103" t="s">
        <v>253</v>
      </c>
    </row>
    <row r="708" spans="2:7" hidden="1"/>
    <row r="709" spans="2:7" hidden="1">
      <c r="B709" s="1436" t="s">
        <v>254</v>
      </c>
      <c r="C709" s="1436"/>
      <c r="D709" s="1436"/>
      <c r="E709" s="1436"/>
      <c r="F709" s="1436"/>
      <c r="G709" s="1436"/>
    </row>
    <row r="710" spans="2:7" hidden="1"/>
    <row r="711" spans="2:7" ht="42.75" hidden="1" customHeight="1">
      <c r="B711" s="1437" t="s">
        <v>11</v>
      </c>
      <c r="C711" s="1437"/>
      <c r="D711" s="1437"/>
      <c r="E711" s="1437"/>
      <c r="F711" s="1437"/>
      <c r="G711" s="1437"/>
    </row>
    <row r="712" spans="2:7" hidden="1"/>
    <row r="713" spans="2:7" hidden="1">
      <c r="B713" s="1436" t="s">
        <v>255</v>
      </c>
      <c r="C713" s="1436"/>
      <c r="D713" s="1436"/>
      <c r="E713" s="1436"/>
      <c r="F713" s="1436"/>
      <c r="G713" s="1436"/>
    </row>
    <row r="714" spans="2:7" hidden="1"/>
    <row r="715" spans="2:7" hidden="1">
      <c r="B715" s="1436" t="s">
        <v>534</v>
      </c>
      <c r="C715" s="1436"/>
      <c r="D715" s="1436"/>
      <c r="E715" s="1436"/>
      <c r="F715" s="1436"/>
      <c r="G715" s="1436"/>
    </row>
    <row r="716" spans="2:7" hidden="1"/>
    <row r="717" spans="2:7" hidden="1">
      <c r="B717" s="1436" t="s">
        <v>535</v>
      </c>
      <c r="C717" s="1436"/>
      <c r="D717" s="1436"/>
      <c r="E717" s="1436"/>
      <c r="F717" s="1436"/>
      <c r="G717" s="1436"/>
    </row>
    <row r="718" spans="2:7" hidden="1"/>
    <row r="719" spans="2:7" ht="28.5" hidden="1" customHeight="1">
      <c r="B719" s="1437" t="s">
        <v>549</v>
      </c>
      <c r="C719" s="1437"/>
      <c r="D719" s="1437"/>
      <c r="E719" s="1437"/>
      <c r="F719" s="1437"/>
      <c r="G719" s="1437"/>
    </row>
    <row r="720" spans="2:7" hidden="1"/>
    <row r="721" spans="2:7" ht="22.5" hidden="1" customHeight="1">
      <c r="B721" s="1437" t="s">
        <v>550</v>
      </c>
      <c r="C721" s="1437"/>
      <c r="D721" s="1437"/>
      <c r="E721" s="1437"/>
      <c r="F721" s="1437"/>
      <c r="G721" s="1437"/>
    </row>
    <row r="722" spans="2:7" hidden="1"/>
    <row r="723" spans="2:7" ht="27.75" hidden="1" customHeight="1">
      <c r="B723" s="1437" t="s">
        <v>551</v>
      </c>
      <c r="C723" s="1437"/>
      <c r="D723" s="1437"/>
      <c r="E723" s="1437"/>
      <c r="F723" s="1437"/>
      <c r="G723" s="1437"/>
    </row>
    <row r="724" spans="2:7" hidden="1"/>
    <row r="725" spans="2:7" ht="34.5" hidden="1" customHeight="1">
      <c r="B725" s="1437" t="s">
        <v>12</v>
      </c>
      <c r="C725" s="1437"/>
      <c r="D725" s="1437"/>
      <c r="E725" s="1437"/>
      <c r="F725" s="1437"/>
      <c r="G725" s="1437"/>
    </row>
    <row r="726" spans="2:7" hidden="1"/>
    <row r="727" spans="2:7" ht="23.25" hidden="1" customHeight="1">
      <c r="B727" s="1437" t="s">
        <v>560</v>
      </c>
      <c r="C727" s="1437"/>
      <c r="D727" s="1437"/>
      <c r="E727" s="1437"/>
      <c r="F727" s="1437"/>
      <c r="G727" s="1437"/>
    </row>
    <row r="728" spans="2:7" hidden="1"/>
    <row r="729" spans="2:7" hidden="1">
      <c r="B729" s="103" t="s">
        <v>561</v>
      </c>
    </row>
    <row r="730" spans="2:7" hidden="1"/>
    <row r="731" spans="2:7" ht="21.75" hidden="1" customHeight="1">
      <c r="B731" s="1437" t="s">
        <v>562</v>
      </c>
      <c r="C731" s="1437"/>
      <c r="D731" s="1437"/>
      <c r="E731" s="1437"/>
      <c r="F731" s="1437"/>
      <c r="G731" s="1437"/>
    </row>
    <row r="732" spans="2:7" hidden="1"/>
    <row r="733" spans="2:7" hidden="1">
      <c r="B733" s="1436" t="s">
        <v>581</v>
      </c>
      <c r="C733" s="1436"/>
      <c r="D733" s="1436"/>
      <c r="E733" s="1436"/>
      <c r="F733" s="1436"/>
      <c r="G733" s="1436"/>
    </row>
    <row r="734" spans="2:7" hidden="1"/>
    <row r="735" spans="2:7" hidden="1">
      <c r="B735" s="103" t="s">
        <v>582</v>
      </c>
    </row>
    <row r="737" spans="2:8">
      <c r="B737" s="110" t="s">
        <v>583</v>
      </c>
    </row>
    <row r="738" spans="2:8" ht="12" thickBot="1">
      <c r="F738" s="1442" t="s">
        <v>247</v>
      </c>
      <c r="G738" s="1442"/>
    </row>
    <row r="739" spans="2:8" ht="12" thickBot="1">
      <c r="B739" s="120"/>
      <c r="C739" s="37"/>
      <c r="D739" s="1431" t="s">
        <v>808</v>
      </c>
      <c r="E739" s="1432"/>
      <c r="F739" s="1433" t="s">
        <v>809</v>
      </c>
      <c r="G739" s="1432"/>
    </row>
    <row r="740" spans="2:8">
      <c r="B740" s="88" t="s">
        <v>585</v>
      </c>
      <c r="C740" s="31"/>
      <c r="D740" s="546"/>
      <c r="E740" s="548">
        <v>659290669446</v>
      </c>
      <c r="F740" s="549"/>
      <c r="G740" s="550">
        <v>688544838555</v>
      </c>
      <c r="H740" s="645">
        <f>G740-688544878793+2387376780</f>
        <v>2387336542</v>
      </c>
    </row>
    <row r="741" spans="2:8">
      <c r="B741" s="72" t="s">
        <v>586</v>
      </c>
      <c r="C741" s="35"/>
      <c r="D741" s="17"/>
      <c r="E741" s="695">
        <v>463163</v>
      </c>
      <c r="F741" s="551"/>
      <c r="G741" s="552">
        <v>117866</v>
      </c>
    </row>
    <row r="742" spans="2:8" ht="12" thickBot="1">
      <c r="B742" s="96" t="s">
        <v>587</v>
      </c>
      <c r="C742" s="35"/>
      <c r="D742" s="544"/>
      <c r="E742" s="695"/>
      <c r="F742" s="551"/>
      <c r="G742" s="552"/>
    </row>
    <row r="743" spans="2:8">
      <c r="B743" s="72" t="s">
        <v>404</v>
      </c>
      <c r="C743" s="35"/>
      <c r="D743" s="17">
        <v>5254400</v>
      </c>
      <c r="E743" s="695"/>
      <c r="F743" s="551">
        <v>35188</v>
      </c>
      <c r="G743" s="552"/>
    </row>
    <row r="744" spans="2:8">
      <c r="B744" s="72" t="s">
        <v>405</v>
      </c>
      <c r="C744" s="35"/>
      <c r="D744" s="17">
        <v>370215269</v>
      </c>
      <c r="E744" s="695"/>
      <c r="F744" s="551">
        <v>653756136</v>
      </c>
      <c r="G744" s="552"/>
    </row>
    <row r="745" spans="2:8">
      <c r="B745" s="72" t="s">
        <v>406</v>
      </c>
      <c r="C745" s="35"/>
      <c r="D745" s="17">
        <v>2937356783</v>
      </c>
      <c r="E745" s="695"/>
      <c r="F745" s="551">
        <v>881639268</v>
      </c>
      <c r="G745" s="552"/>
    </row>
    <row r="746" spans="2:8" ht="12" thickBot="1">
      <c r="B746" s="72" t="s">
        <v>407</v>
      </c>
      <c r="C746" s="35"/>
      <c r="D746" s="553">
        <v>647982111</v>
      </c>
      <c r="E746" s="552">
        <f>SUM(D743:D746)</f>
        <v>3960808563</v>
      </c>
      <c r="F746" s="553">
        <v>479633507</v>
      </c>
      <c r="G746" s="552">
        <f>SUM(F743:F746)</f>
        <v>2015064099</v>
      </c>
    </row>
    <row r="747" spans="2:8">
      <c r="B747" s="96"/>
      <c r="C747" s="35"/>
      <c r="D747" s="17"/>
      <c r="E747" s="554">
        <f>SUM(E740:E746)</f>
        <v>663251941172</v>
      </c>
      <c r="F747" s="551"/>
      <c r="G747" s="552">
        <f>SUM(G740:G746)</f>
        <v>690560020520</v>
      </c>
    </row>
    <row r="748" spans="2:8">
      <c r="B748" s="72" t="s">
        <v>584</v>
      </c>
      <c r="C748" s="35"/>
      <c r="D748" s="17"/>
      <c r="E748" s="695"/>
      <c r="F748" s="551"/>
      <c r="G748" s="542"/>
    </row>
    <row r="749" spans="2:8" ht="12" thickBot="1">
      <c r="B749" s="72" t="s">
        <v>588</v>
      </c>
      <c r="C749" s="35"/>
      <c r="D749" s="544">
        <v>3100000</v>
      </c>
      <c r="E749" s="695">
        <f>D749</f>
        <v>3100000</v>
      </c>
      <c r="F749" s="555">
        <v>0</v>
      </c>
      <c r="G749" s="530">
        <f>F749</f>
        <v>0</v>
      </c>
    </row>
    <row r="750" spans="2:8" ht="12" thickBot="1">
      <c r="B750" s="72"/>
      <c r="C750" s="35"/>
      <c r="D750" s="17"/>
      <c r="E750" s="12"/>
      <c r="F750" s="551"/>
      <c r="G750" s="12"/>
    </row>
    <row r="751" spans="2:8" ht="12" thickBot="1">
      <c r="B751" s="515" t="s">
        <v>806</v>
      </c>
      <c r="C751" s="35"/>
      <c r="D751" s="17"/>
      <c r="E751" s="582">
        <f>E747-E749</f>
        <v>663248841172</v>
      </c>
      <c r="F751" s="583"/>
      <c r="G751" s="584">
        <f>G747-G749</f>
        <v>690560020520</v>
      </c>
    </row>
    <row r="752" spans="2:8" ht="12.75" thickTop="1" thickBot="1">
      <c r="B752" s="60"/>
      <c r="C752" s="61"/>
      <c r="D752" s="544"/>
      <c r="E752" s="680"/>
      <c r="F752" s="553"/>
      <c r="G752" s="557"/>
      <c r="H752" s="645">
        <f>G751-690560020520</f>
        <v>0</v>
      </c>
    </row>
    <row r="754" spans="2:7" ht="24" hidden="1" customHeight="1">
      <c r="B754" s="1437" t="s">
        <v>589</v>
      </c>
      <c r="C754" s="1437"/>
      <c r="D754" s="1437"/>
      <c r="E754" s="1437"/>
      <c r="F754" s="1437"/>
      <c r="G754" s="1437"/>
    </row>
    <row r="755" spans="2:7" hidden="1"/>
    <row r="756" spans="2:7" ht="48.75" hidden="1" customHeight="1">
      <c r="B756" s="1437" t="s">
        <v>932</v>
      </c>
      <c r="C756" s="1437"/>
      <c r="D756" s="1437"/>
      <c r="E756" s="1437"/>
      <c r="F756" s="1437"/>
      <c r="G756" s="1437"/>
    </row>
    <row r="758" spans="2:7">
      <c r="B758" s="110" t="s">
        <v>590</v>
      </c>
    </row>
    <row r="759" spans="2:7" ht="12" thickBot="1">
      <c r="F759" s="1442" t="s">
        <v>247</v>
      </c>
      <c r="G759" s="1442"/>
    </row>
    <row r="760" spans="2:7" ht="12" thickBot="1">
      <c r="B760" s="120"/>
      <c r="C760" s="37"/>
      <c r="D760" s="1431" t="s">
        <v>808</v>
      </c>
      <c r="E760" s="1432"/>
      <c r="F760" s="1433" t="s">
        <v>809</v>
      </c>
      <c r="G760" s="1432"/>
    </row>
    <row r="761" spans="2:7">
      <c r="B761" s="88" t="s">
        <v>595</v>
      </c>
      <c r="C761" s="31"/>
      <c r="D761" s="546"/>
      <c r="E761" s="543"/>
      <c r="F761" s="677"/>
      <c r="G761" s="543"/>
    </row>
    <row r="762" spans="2:7">
      <c r="B762" s="119" t="s">
        <v>591</v>
      </c>
      <c r="C762" s="35"/>
      <c r="D762" s="17">
        <v>3860695516</v>
      </c>
      <c r="E762" s="542"/>
      <c r="F762" s="695">
        <v>2522945213</v>
      </c>
      <c r="G762" s="542"/>
    </row>
    <row r="763" spans="2:7" ht="21">
      <c r="B763" s="119" t="s">
        <v>592</v>
      </c>
      <c r="C763" s="35"/>
      <c r="D763" s="17">
        <v>113756761</v>
      </c>
      <c r="E763" s="542"/>
      <c r="F763" s="695">
        <v>25270624</v>
      </c>
      <c r="G763" s="542"/>
    </row>
    <row r="764" spans="2:7" ht="12" thickBot="1">
      <c r="B764" s="119" t="s">
        <v>593</v>
      </c>
      <c r="C764" s="35"/>
      <c r="D764" s="544">
        <v>2483709837</v>
      </c>
      <c r="E764" s="542">
        <f>+SUM(D762:D764)</f>
        <v>6458162114</v>
      </c>
      <c r="F764" s="544">
        <v>2202252761</v>
      </c>
      <c r="G764" s="542">
        <f>+SUM(F762:F764)</f>
        <v>4750468598</v>
      </c>
    </row>
    <row r="765" spans="2:7">
      <c r="B765" s="72" t="s">
        <v>596</v>
      </c>
      <c r="C765" s="35"/>
      <c r="D765" s="17"/>
      <c r="E765" s="542">
        <v>248957393</v>
      </c>
      <c r="F765" s="695"/>
      <c r="G765" s="542">
        <v>98877803</v>
      </c>
    </row>
    <row r="766" spans="2:7">
      <c r="B766" s="96" t="s">
        <v>220</v>
      </c>
      <c r="C766" s="35"/>
      <c r="D766" s="17"/>
      <c r="E766" s="530">
        <v>0</v>
      </c>
      <c r="F766" s="529"/>
      <c r="G766" s="530">
        <v>0</v>
      </c>
    </row>
    <row r="767" spans="2:7" ht="32.25">
      <c r="B767" s="72" t="s">
        <v>219</v>
      </c>
      <c r="C767" s="35"/>
      <c r="D767" s="17"/>
      <c r="E767" s="530"/>
      <c r="F767" s="529"/>
      <c r="G767" s="530">
        <v>0</v>
      </c>
    </row>
    <row r="768" spans="2:7">
      <c r="B768" s="72" t="s">
        <v>566</v>
      </c>
      <c r="C768" s="35"/>
      <c r="D768" s="17">
        <v>5395926</v>
      </c>
      <c r="E768" s="542"/>
      <c r="F768" s="695">
        <v>4331119</v>
      </c>
      <c r="G768" s="542"/>
    </row>
    <row r="769" spans="2:8">
      <c r="B769" s="72" t="s">
        <v>567</v>
      </c>
      <c r="C769" s="35"/>
      <c r="D769" s="17">
        <v>157973009</v>
      </c>
      <c r="E769" s="542"/>
      <c r="F769" s="695">
        <v>109279008</v>
      </c>
      <c r="G769" s="542"/>
      <c r="H769" s="29">
        <f>F769-109279008</f>
        <v>0</v>
      </c>
    </row>
    <row r="770" spans="2:8">
      <c r="B770" s="72" t="s">
        <v>568</v>
      </c>
      <c r="C770" s="35"/>
      <c r="D770" s="17">
        <v>295220190</v>
      </c>
      <c r="E770" s="542"/>
      <c r="F770" s="695">
        <v>94178862</v>
      </c>
      <c r="G770" s="542"/>
    </row>
    <row r="771" spans="2:8">
      <c r="B771" s="72"/>
      <c r="C771" s="35"/>
      <c r="D771" s="17"/>
      <c r="E771" s="542"/>
      <c r="F771" s="695"/>
      <c r="G771" s="542"/>
    </row>
    <row r="772" spans="2:8">
      <c r="B772" s="72" t="s">
        <v>594</v>
      </c>
      <c r="C772" s="35"/>
      <c r="D772" s="17">
        <v>104390359</v>
      </c>
      <c r="E772" s="542"/>
      <c r="F772" s="17">
        <v>20378774</v>
      </c>
      <c r="G772" s="542"/>
    </row>
    <row r="773" spans="2:8" ht="12" thickBot="1">
      <c r="B773" s="72" t="s">
        <v>597</v>
      </c>
      <c r="C773" s="35"/>
      <c r="D773" s="532">
        <v>0</v>
      </c>
      <c r="E773" s="542">
        <f>SUM(D768:D773)</f>
        <v>562979484</v>
      </c>
      <c r="F773" s="532">
        <v>0</v>
      </c>
      <c r="G773" s="542">
        <f>SUM(F768:F773)</f>
        <v>228167763</v>
      </c>
    </row>
    <row r="774" spans="2:8" ht="12" thickBot="1">
      <c r="B774" s="72"/>
      <c r="C774" s="35"/>
      <c r="D774" s="17"/>
      <c r="E774" s="12"/>
      <c r="F774" s="17"/>
      <c r="G774" s="12"/>
    </row>
    <row r="775" spans="2:8" ht="12" thickBot="1">
      <c r="B775" s="515" t="s">
        <v>806</v>
      </c>
      <c r="C775" s="35"/>
      <c r="D775" s="17"/>
      <c r="E775" s="581">
        <f>SUM(E762:E774)</f>
        <v>7270098991</v>
      </c>
      <c r="F775" s="694"/>
      <c r="G775" s="581">
        <f>SUM(G762:G774)</f>
        <v>5077514164</v>
      </c>
    </row>
    <row r="776" spans="2:8" ht="12.75" thickTop="1" thickBot="1">
      <c r="B776" s="60"/>
      <c r="C776" s="61"/>
      <c r="D776" s="544"/>
      <c r="E776" s="12"/>
      <c r="F776" s="680"/>
      <c r="G776" s="12"/>
    </row>
    <row r="778" spans="2:8" ht="55.5" hidden="1" customHeight="1">
      <c r="B778" s="1437" t="s">
        <v>933</v>
      </c>
      <c r="C778" s="1437"/>
      <c r="D778" s="1437"/>
      <c r="E778" s="1437"/>
      <c r="F778" s="1437"/>
      <c r="G778" s="1437"/>
    </row>
    <row r="780" spans="2:8">
      <c r="B780" s="110" t="s">
        <v>598</v>
      </c>
    </row>
    <row r="781" spans="2:8" ht="12" thickBot="1">
      <c r="F781" s="1442" t="s">
        <v>247</v>
      </c>
      <c r="G781" s="1442"/>
    </row>
    <row r="782" spans="2:8" ht="12" thickBot="1">
      <c r="B782" s="126"/>
      <c r="C782" s="63"/>
      <c r="D782" s="1431" t="s">
        <v>808</v>
      </c>
      <c r="E782" s="1432"/>
      <c r="F782" s="1433" t="s">
        <v>809</v>
      </c>
      <c r="G782" s="1432"/>
    </row>
    <row r="783" spans="2:8">
      <c r="B783" s="88" t="s">
        <v>599</v>
      </c>
      <c r="C783" s="31"/>
      <c r="D783" s="546"/>
      <c r="E783" s="530">
        <v>0</v>
      </c>
      <c r="F783" s="677"/>
      <c r="G783" s="626">
        <v>0</v>
      </c>
    </row>
    <row r="784" spans="2:8">
      <c r="B784" s="72" t="s">
        <v>600</v>
      </c>
      <c r="C784" s="35"/>
      <c r="D784" s="17"/>
      <c r="E784" s="530">
        <v>0</v>
      </c>
      <c r="F784" s="695"/>
      <c r="G784" s="530">
        <v>0</v>
      </c>
    </row>
    <row r="785" spans="2:7">
      <c r="B785" s="72" t="s">
        <v>601</v>
      </c>
      <c r="C785" s="35"/>
      <c r="D785" s="17"/>
      <c r="E785" s="530">
        <v>0</v>
      </c>
      <c r="F785" s="695"/>
      <c r="G785" s="530">
        <v>0</v>
      </c>
    </row>
    <row r="786" spans="2:7">
      <c r="B786" s="72" t="s">
        <v>602</v>
      </c>
      <c r="C786" s="35"/>
      <c r="D786" s="17"/>
      <c r="E786" s="530">
        <v>0</v>
      </c>
      <c r="F786" s="695"/>
      <c r="G786" s="530">
        <v>0</v>
      </c>
    </row>
    <row r="787" spans="2:7" ht="12" thickBot="1">
      <c r="B787" s="72"/>
      <c r="C787" s="35"/>
      <c r="D787" s="17"/>
      <c r="E787" s="12"/>
      <c r="F787" s="695"/>
      <c r="G787" s="12"/>
    </row>
    <row r="788" spans="2:7" ht="12" thickBot="1">
      <c r="B788" s="515" t="s">
        <v>806</v>
      </c>
      <c r="C788" s="35"/>
      <c r="D788" s="17"/>
      <c r="E788" s="655">
        <f>SUM(E783:E787)</f>
        <v>0</v>
      </c>
      <c r="F788" s="635"/>
      <c r="G788" s="655">
        <f>SUM(G783:G787)</f>
        <v>0</v>
      </c>
    </row>
    <row r="789" spans="2:7" ht="12.75" thickTop="1" thickBot="1">
      <c r="B789" s="60"/>
      <c r="C789" s="61"/>
      <c r="D789" s="544"/>
      <c r="E789" s="12"/>
      <c r="F789" s="680"/>
      <c r="G789" s="12"/>
    </row>
    <row r="791" spans="2:7">
      <c r="B791" s="110" t="s">
        <v>603</v>
      </c>
    </row>
    <row r="793" spans="2:7" ht="12" thickBot="1">
      <c r="F793" s="1442" t="s">
        <v>247</v>
      </c>
      <c r="G793" s="1442"/>
    </row>
    <row r="794" spans="2:7" ht="12" thickBot="1">
      <c r="B794" s="111" t="s">
        <v>604</v>
      </c>
      <c r="C794" s="37"/>
      <c r="D794" s="1431" t="s">
        <v>808</v>
      </c>
      <c r="E794" s="1432"/>
      <c r="F794" s="1433" t="s">
        <v>809</v>
      </c>
      <c r="G794" s="1432"/>
    </row>
    <row r="795" spans="2:7">
      <c r="B795" s="94" t="s">
        <v>498</v>
      </c>
      <c r="C795" s="31"/>
      <c r="D795" s="306"/>
      <c r="E795" s="307"/>
      <c r="F795" s="306"/>
      <c r="G795" s="145"/>
    </row>
    <row r="796" spans="2:7">
      <c r="B796" s="72" t="s">
        <v>605</v>
      </c>
      <c r="C796" s="35"/>
      <c r="D796" s="551">
        <v>503594919497</v>
      </c>
      <c r="E796" s="695"/>
      <c r="F796" s="551">
        <v>497747149047</v>
      </c>
      <c r="G796" s="542"/>
    </row>
    <row r="797" spans="2:7">
      <c r="B797" s="72" t="s">
        <v>606</v>
      </c>
      <c r="C797" s="35"/>
      <c r="D797" s="551">
        <v>22746445000</v>
      </c>
      <c r="E797" s="695"/>
      <c r="F797" s="17">
        <v>20027543175</v>
      </c>
      <c r="G797" s="542"/>
    </row>
    <row r="798" spans="2:7">
      <c r="B798" s="72" t="s">
        <v>607</v>
      </c>
      <c r="C798" s="35"/>
      <c r="D798" s="551">
        <v>57397864956</v>
      </c>
      <c r="E798" s="695"/>
      <c r="F798" s="17">
        <v>19383038124</v>
      </c>
      <c r="G798" s="542"/>
    </row>
    <row r="799" spans="2:7">
      <c r="B799" s="72" t="s">
        <v>608</v>
      </c>
      <c r="C799" s="35"/>
      <c r="D799" s="551">
        <v>10427919550</v>
      </c>
      <c r="E799" s="695"/>
      <c r="F799" s="17">
        <v>28607203158</v>
      </c>
      <c r="G799" s="542"/>
    </row>
    <row r="800" spans="2:7">
      <c r="B800" s="72" t="s">
        <v>609</v>
      </c>
      <c r="C800" s="35"/>
      <c r="D800" s="551">
        <v>22346447208</v>
      </c>
      <c r="E800" s="695"/>
      <c r="F800" s="17">
        <v>13938730583</v>
      </c>
      <c r="G800" s="542"/>
    </row>
    <row r="801" spans="2:7">
      <c r="B801" s="72" t="s">
        <v>610</v>
      </c>
      <c r="C801" s="35"/>
      <c r="D801" s="551">
        <v>34753159580</v>
      </c>
      <c r="E801" s="695"/>
      <c r="F801" s="17">
        <v>66036064038</v>
      </c>
      <c r="G801" s="542"/>
    </row>
    <row r="802" spans="2:7">
      <c r="B802" s="72" t="s">
        <v>611</v>
      </c>
      <c r="C802" s="35"/>
      <c r="D802" s="558">
        <v>396926276</v>
      </c>
      <c r="E802" s="554">
        <f>SUM(D796:D802)</f>
        <v>651663682067</v>
      </c>
      <c r="F802" s="558">
        <v>87755097</v>
      </c>
      <c r="G802" s="552">
        <f>SUM(F796:F802)</f>
        <v>645827483222</v>
      </c>
    </row>
    <row r="803" spans="2:7">
      <c r="B803" s="72"/>
      <c r="C803" s="35"/>
      <c r="D803" s="17"/>
      <c r="E803" s="695"/>
      <c r="F803" s="17"/>
      <c r="G803" s="542"/>
    </row>
    <row r="804" spans="2:7">
      <c r="B804" s="684" t="s">
        <v>884</v>
      </c>
      <c r="C804" s="35"/>
      <c r="D804" s="313"/>
      <c r="E804" s="287"/>
      <c r="F804" s="313"/>
      <c r="G804" s="312"/>
    </row>
    <row r="805" spans="2:7">
      <c r="B805" s="72" t="s">
        <v>605</v>
      </c>
      <c r="C805" s="35"/>
      <c r="D805" s="17">
        <v>9003934915</v>
      </c>
      <c r="E805" s="695"/>
      <c r="F805" s="17">
        <v>6083912281</v>
      </c>
      <c r="G805" s="542"/>
    </row>
    <row r="806" spans="2:7">
      <c r="B806" s="72" t="s">
        <v>606</v>
      </c>
      <c r="C806" s="35"/>
      <c r="D806" s="17">
        <v>85264007</v>
      </c>
      <c r="E806" s="695"/>
      <c r="F806" s="17">
        <v>170604119</v>
      </c>
      <c r="G806" s="542"/>
    </row>
    <row r="807" spans="2:7">
      <c r="B807" s="72" t="s">
        <v>607</v>
      </c>
      <c r="C807" s="35"/>
      <c r="D807" s="555">
        <v>0</v>
      </c>
      <c r="E807" s="695"/>
      <c r="F807" s="555">
        <v>0</v>
      </c>
      <c r="G807" s="542"/>
    </row>
    <row r="808" spans="2:7">
      <c r="B808" s="72" t="s">
        <v>608</v>
      </c>
      <c r="C808" s="35"/>
      <c r="D808" s="555">
        <v>0</v>
      </c>
      <c r="E808" s="695"/>
      <c r="F808" s="17">
        <v>3561433</v>
      </c>
      <c r="G808" s="542"/>
    </row>
    <row r="809" spans="2:7">
      <c r="B809" s="72" t="s">
        <v>609</v>
      </c>
      <c r="C809" s="35"/>
      <c r="D809" s="555">
        <v>0</v>
      </c>
      <c r="E809" s="695"/>
      <c r="F809" s="17">
        <v>66492321</v>
      </c>
      <c r="G809" s="542"/>
    </row>
    <row r="810" spans="2:7">
      <c r="B810" s="72" t="s">
        <v>610</v>
      </c>
      <c r="C810" s="35"/>
      <c r="D810" s="555">
        <v>0</v>
      </c>
      <c r="E810" s="695"/>
      <c r="F810" s="17">
        <v>47632720</v>
      </c>
      <c r="G810" s="542"/>
    </row>
    <row r="811" spans="2:7">
      <c r="B811" s="72" t="s">
        <v>611</v>
      </c>
      <c r="C811" s="35"/>
      <c r="D811" s="558">
        <v>271690182</v>
      </c>
      <c r="E811" s="695">
        <f>SUM(D805:D811)</f>
        <v>9360889104</v>
      </c>
      <c r="F811" s="558">
        <v>58841364</v>
      </c>
      <c r="G811" s="542">
        <f>SUM(F805:F811)</f>
        <v>6431044238</v>
      </c>
    </row>
    <row r="812" spans="2:7">
      <c r="B812" s="72"/>
      <c r="C812" s="35"/>
      <c r="D812" s="17"/>
      <c r="E812" s="695"/>
      <c r="F812" s="17"/>
      <c r="G812" s="542"/>
    </row>
    <row r="813" spans="2:7">
      <c r="B813" s="684" t="s">
        <v>395</v>
      </c>
      <c r="C813" s="35"/>
      <c r="D813" s="313"/>
      <c r="E813" s="287"/>
      <c r="F813" s="313"/>
      <c r="G813" s="312"/>
    </row>
    <row r="814" spans="2:7">
      <c r="B814" s="72" t="s">
        <v>605</v>
      </c>
      <c r="C814" s="35"/>
      <c r="D814" s="726">
        <v>-225372579</v>
      </c>
      <c r="E814" s="269">
        <f>-E820</f>
        <v>-7962083</v>
      </c>
      <c r="F814" s="659">
        <v>-312674679</v>
      </c>
      <c r="G814" s="542">
        <f>-G820</f>
        <v>42755497</v>
      </c>
    </row>
    <row r="815" spans="2:7">
      <c r="B815" s="72" t="s">
        <v>606</v>
      </c>
      <c r="C815" s="35"/>
      <c r="D815" s="17">
        <v>87668316</v>
      </c>
      <c r="E815" s="695"/>
      <c r="F815" s="17">
        <v>141024063</v>
      </c>
      <c r="G815" s="542"/>
    </row>
    <row r="816" spans="2:7">
      <c r="B816" s="72" t="s">
        <v>607</v>
      </c>
      <c r="C816" s="35"/>
      <c r="D816" s="555">
        <v>0</v>
      </c>
      <c r="E816" s="695"/>
      <c r="F816" s="555">
        <v>0</v>
      </c>
      <c r="G816" s="542"/>
    </row>
    <row r="817" spans="2:8">
      <c r="B817" s="72" t="s">
        <v>608</v>
      </c>
      <c r="C817" s="35"/>
      <c r="D817" s="555">
        <v>0</v>
      </c>
      <c r="E817" s="695"/>
      <c r="F817" s="17">
        <v>3561433</v>
      </c>
      <c r="G817" s="542"/>
    </row>
    <row r="818" spans="2:8">
      <c r="B818" s="72" t="s">
        <v>609</v>
      </c>
      <c r="C818" s="35"/>
      <c r="D818" s="17">
        <v>412896</v>
      </c>
      <c r="E818" s="695"/>
      <c r="F818" s="555">
        <v>0</v>
      </c>
      <c r="G818" s="542"/>
    </row>
    <row r="819" spans="2:8">
      <c r="B819" s="72" t="s">
        <v>610</v>
      </c>
      <c r="C819" s="35"/>
      <c r="D819" s="17">
        <v>0</v>
      </c>
      <c r="E819" s="695"/>
      <c r="F819" s="17">
        <v>66492321</v>
      </c>
      <c r="G819" s="542"/>
    </row>
    <row r="820" spans="2:8">
      <c r="B820" s="72" t="s">
        <v>611</v>
      </c>
      <c r="C820" s="35"/>
      <c r="D820" s="558">
        <v>145253450</v>
      </c>
      <c r="E820" s="542">
        <f>SUM(D814:D820)</f>
        <v>7962083</v>
      </c>
      <c r="F820" s="558">
        <v>58841365</v>
      </c>
      <c r="G820" s="542">
        <f>SUM(F814:F820)</f>
        <v>-42755497</v>
      </c>
    </row>
    <row r="821" spans="2:8" ht="12" thickBot="1">
      <c r="B821" s="509" t="s">
        <v>806</v>
      </c>
      <c r="C821" s="61"/>
      <c r="D821" s="544"/>
      <c r="E821" s="660">
        <f>E802+E814</f>
        <v>651655719984</v>
      </c>
      <c r="F821" s="679"/>
      <c r="G821" s="660">
        <f>G802+G814</f>
        <v>645870238719</v>
      </c>
    </row>
    <row r="822" spans="2:8">
      <c r="E822" s="645">
        <v>651655719984</v>
      </c>
      <c r="G822" s="645">
        <v>645870238719</v>
      </c>
      <c r="H822" s="645"/>
    </row>
    <row r="823" spans="2:8">
      <c r="B823" s="110" t="s">
        <v>612</v>
      </c>
      <c r="E823" s="645">
        <f>+E821-E822</f>
        <v>0</v>
      </c>
      <c r="G823" s="645">
        <f>+G821-G822</f>
        <v>0</v>
      </c>
    </row>
    <row r="824" spans="2:8" ht="12" thickBot="1">
      <c r="F824" s="1442" t="s">
        <v>247</v>
      </c>
      <c r="G824" s="1442"/>
    </row>
    <row r="825" spans="2:8" ht="12" thickBot="1">
      <c r="B825" s="120"/>
      <c r="C825" s="37"/>
      <c r="D825" s="1431" t="s">
        <v>808</v>
      </c>
      <c r="E825" s="1432"/>
      <c r="F825" s="1433" t="s">
        <v>809</v>
      </c>
      <c r="G825" s="1432"/>
    </row>
    <row r="826" spans="2:8">
      <c r="B826" s="689" t="s">
        <v>621</v>
      </c>
      <c r="C826" s="63"/>
      <c r="D826" s="546"/>
      <c r="E826" s="543"/>
      <c r="F826" s="17"/>
      <c r="G826" s="542"/>
    </row>
    <row r="827" spans="2:8">
      <c r="B827" s="113" t="s">
        <v>613</v>
      </c>
      <c r="C827" s="40"/>
      <c r="D827" s="17"/>
      <c r="E827" s="542"/>
      <c r="F827" s="555">
        <v>0</v>
      </c>
      <c r="G827" s="530"/>
    </row>
    <row r="828" spans="2:8">
      <c r="B828" s="113" t="s">
        <v>614</v>
      </c>
      <c r="C828" s="40"/>
      <c r="D828" s="17"/>
      <c r="E828" s="542"/>
      <c r="F828" s="627">
        <v>0</v>
      </c>
      <c r="G828" s="530"/>
    </row>
    <row r="829" spans="2:8">
      <c r="B829" s="113" t="s">
        <v>615</v>
      </c>
      <c r="C829" s="40"/>
      <c r="D829" s="17"/>
      <c r="E829" s="530">
        <f>+D827-D828</f>
        <v>0</v>
      </c>
      <c r="F829" s="555"/>
      <c r="G829" s="530">
        <f>+F827-F828</f>
        <v>0</v>
      </c>
    </row>
    <row r="830" spans="2:8">
      <c r="B830" s="685" t="s">
        <v>625</v>
      </c>
      <c r="C830" s="40"/>
      <c r="D830" s="17"/>
      <c r="E830" s="530"/>
      <c r="F830" s="555"/>
      <c r="G830" s="530"/>
    </row>
    <row r="831" spans="2:8">
      <c r="B831" s="113" t="s">
        <v>613</v>
      </c>
      <c r="C831" s="40"/>
      <c r="D831" s="17"/>
      <c r="E831" s="530"/>
      <c r="F831" s="555">
        <v>0</v>
      </c>
      <c r="G831" s="530"/>
    </row>
    <row r="832" spans="2:8">
      <c r="B832" s="113" t="s">
        <v>614</v>
      </c>
      <c r="C832" s="40"/>
      <c r="D832" s="17"/>
      <c r="E832" s="530"/>
      <c r="F832" s="555">
        <v>0</v>
      </c>
      <c r="G832" s="530"/>
    </row>
    <row r="833" spans="2:8" ht="21">
      <c r="B833" s="113" t="s">
        <v>616</v>
      </c>
      <c r="C833" s="40"/>
      <c r="D833" s="17"/>
      <c r="E833" s="530">
        <f>+D831-D832</f>
        <v>0</v>
      </c>
      <c r="F833" s="555"/>
      <c r="G833" s="530">
        <f>+F831-F832</f>
        <v>0</v>
      </c>
    </row>
    <row r="834" spans="2:8">
      <c r="B834" s="685" t="s">
        <v>626</v>
      </c>
      <c r="C834" s="40"/>
      <c r="D834" s="17"/>
      <c r="E834" s="542"/>
      <c r="F834" s="17"/>
      <c r="G834" s="542"/>
    </row>
    <row r="835" spans="2:8">
      <c r="B835" s="113" t="s">
        <v>617</v>
      </c>
      <c r="C835" s="40"/>
      <c r="D835" s="17">
        <v>6479728407</v>
      </c>
      <c r="E835" s="542"/>
      <c r="F835" s="17">
        <v>21306108995</v>
      </c>
      <c r="G835" s="542"/>
      <c r="H835" s="29">
        <f>F835-21306108995</f>
        <v>0</v>
      </c>
    </row>
    <row r="836" spans="2:8">
      <c r="B836" s="113" t="s">
        <v>618</v>
      </c>
      <c r="C836" s="40"/>
      <c r="D836" s="17">
        <v>9256087080</v>
      </c>
      <c r="E836" s="542"/>
      <c r="F836" s="17">
        <v>6575417626</v>
      </c>
      <c r="G836" s="542"/>
      <c r="H836" s="29">
        <f>F836-6479152607</f>
        <v>96265019</v>
      </c>
    </row>
    <row r="837" spans="2:8">
      <c r="B837" s="113" t="s">
        <v>619</v>
      </c>
      <c r="C837" s="40"/>
      <c r="D837" s="17"/>
      <c r="E837" s="263">
        <f>+D835-D836</f>
        <v>-2776358673</v>
      </c>
      <c r="F837" s="17"/>
      <c r="G837" s="542">
        <f>+F835-F836</f>
        <v>14730691369</v>
      </c>
    </row>
    <row r="838" spans="2:8" ht="12" thickBot="1">
      <c r="B838" s="113"/>
      <c r="C838" s="40"/>
      <c r="D838" s="17"/>
      <c r="E838" s="265"/>
      <c r="F838" s="17"/>
      <c r="G838" s="12"/>
    </row>
    <row r="839" spans="2:8" ht="12" thickBot="1">
      <c r="B839" s="515" t="s">
        <v>806</v>
      </c>
      <c r="C839" s="40"/>
      <c r="D839" s="17"/>
      <c r="E839" s="580">
        <f>SUM(E826:E838)</f>
        <v>-2776358673</v>
      </c>
      <c r="F839" s="694"/>
      <c r="G839" s="581">
        <f>SUM(G826:G838)</f>
        <v>14730691369</v>
      </c>
    </row>
    <row r="840" spans="2:8" ht="12.75" thickTop="1" thickBot="1">
      <c r="B840" s="60"/>
      <c r="C840" s="50"/>
      <c r="D840" s="544"/>
      <c r="E840" s="12"/>
      <c r="F840" s="544"/>
      <c r="G840" s="12"/>
    </row>
    <row r="842" spans="2:8">
      <c r="B842" s="110" t="s">
        <v>627</v>
      </c>
    </row>
    <row r="843" spans="2:8" ht="12" thickBot="1">
      <c r="F843" s="1442" t="s">
        <v>247</v>
      </c>
      <c r="G843" s="1442"/>
    </row>
    <row r="844" spans="2:8" ht="12" thickBot="1">
      <c r="B844" s="120"/>
      <c r="C844" s="37"/>
      <c r="D844" s="1431" t="s">
        <v>808</v>
      </c>
      <c r="E844" s="1432"/>
      <c r="F844" s="1433" t="s">
        <v>809</v>
      </c>
      <c r="G844" s="1432"/>
    </row>
    <row r="845" spans="2:8">
      <c r="B845" s="127" t="s">
        <v>230</v>
      </c>
      <c r="C845" s="31"/>
      <c r="D845" s="546"/>
      <c r="E845" s="543">
        <v>1685642515</v>
      </c>
      <c r="F845" s="677"/>
      <c r="G845" s="543">
        <f>G865</f>
        <v>1596388779</v>
      </c>
    </row>
    <row r="846" spans="2:8">
      <c r="B846" s="1452" t="s">
        <v>231</v>
      </c>
      <c r="C846" s="1453"/>
      <c r="D846" s="17"/>
      <c r="E846" s="542">
        <v>125167496</v>
      </c>
      <c r="F846" s="695"/>
      <c r="G846" s="542">
        <f>G873</f>
        <v>144637430</v>
      </c>
    </row>
    <row r="847" spans="2:8">
      <c r="B847" s="692" t="s">
        <v>232</v>
      </c>
      <c r="C847" s="35"/>
      <c r="D847" s="17"/>
      <c r="E847" s="542"/>
      <c r="F847" s="695"/>
      <c r="G847" s="530">
        <v>0</v>
      </c>
    </row>
    <row r="848" spans="2:8">
      <c r="B848" s="692" t="s">
        <v>233</v>
      </c>
      <c r="C848" s="35"/>
      <c r="D848" s="17"/>
      <c r="E848" s="542">
        <v>32796494</v>
      </c>
      <c r="F848" s="695"/>
      <c r="G848" s="542">
        <v>96562208</v>
      </c>
    </row>
    <row r="849" spans="2:8" ht="12" thickBot="1">
      <c r="B849" s="72"/>
      <c r="C849" s="35"/>
      <c r="D849" s="17"/>
      <c r="E849" s="12"/>
      <c r="F849" s="695"/>
      <c r="G849" s="12"/>
    </row>
    <row r="850" spans="2:8" ht="12" thickBot="1">
      <c r="B850" s="515" t="s">
        <v>806</v>
      </c>
      <c r="C850" s="35"/>
      <c r="D850" s="17"/>
      <c r="E850" s="581">
        <f>SUM(E845:E848)</f>
        <v>1843606505</v>
      </c>
      <c r="F850" s="696"/>
      <c r="G850" s="581">
        <f>SUM(G845:G848)</f>
        <v>1837588417</v>
      </c>
      <c r="H850" s="29">
        <f>G850-1837588417</f>
        <v>0</v>
      </c>
    </row>
    <row r="851" spans="2:8" ht="12.75" thickTop="1" thickBot="1">
      <c r="B851" s="60"/>
      <c r="C851" s="61"/>
      <c r="D851" s="544"/>
      <c r="E851" s="12"/>
      <c r="F851" s="680"/>
      <c r="G851" s="12"/>
    </row>
    <row r="854" spans="2:8" ht="12" thickBot="1">
      <c r="B854" s="103" t="s">
        <v>628</v>
      </c>
      <c r="F854" s="1442" t="s">
        <v>247</v>
      </c>
      <c r="G854" s="1442"/>
    </row>
    <row r="855" spans="2:8" ht="12" thickBot="1">
      <c r="B855" s="120"/>
      <c r="C855" s="80"/>
      <c r="D855" s="1431" t="s">
        <v>808</v>
      </c>
      <c r="E855" s="1432"/>
      <c r="F855" s="1433" t="s">
        <v>809</v>
      </c>
      <c r="G855" s="1432"/>
    </row>
    <row r="856" spans="2:8">
      <c r="B856" s="562" t="s">
        <v>221</v>
      </c>
      <c r="C856" s="31"/>
      <c r="D856" s="546"/>
      <c r="E856" s="543">
        <v>1121581823</v>
      </c>
      <c r="F856" s="677"/>
      <c r="G856" s="543">
        <v>1063362830</v>
      </c>
    </row>
    <row r="857" spans="2:8">
      <c r="B857" s="563" t="s">
        <v>222</v>
      </c>
      <c r="C857" s="35"/>
      <c r="D857" s="17"/>
      <c r="E857" s="542">
        <v>123373731</v>
      </c>
      <c r="F857" s="695"/>
      <c r="G857" s="542">
        <v>71420903</v>
      </c>
    </row>
    <row r="858" spans="2:8">
      <c r="B858" s="563" t="s">
        <v>223</v>
      </c>
      <c r="C858" s="35"/>
      <c r="D858" s="17"/>
      <c r="E858" s="542">
        <v>36867189</v>
      </c>
      <c r="F858" s="695"/>
      <c r="G858" s="542">
        <v>5404093</v>
      </c>
    </row>
    <row r="859" spans="2:8">
      <c r="B859" s="563" t="s">
        <v>224</v>
      </c>
      <c r="C859" s="35"/>
      <c r="D859" s="17"/>
      <c r="E859" s="542">
        <v>779690</v>
      </c>
      <c r="F859" s="695"/>
      <c r="G859" s="542">
        <v>1475026</v>
      </c>
    </row>
    <row r="860" spans="2:8">
      <c r="B860" s="563" t="s">
        <v>225</v>
      </c>
      <c r="C860" s="35"/>
      <c r="D860" s="17"/>
      <c r="E860" s="542">
        <v>50920935</v>
      </c>
      <c r="F860" s="695"/>
      <c r="G860" s="542">
        <v>84274226</v>
      </c>
    </row>
    <row r="861" spans="2:8">
      <c r="B861" s="563" t="s">
        <v>226</v>
      </c>
      <c r="C861" s="35"/>
      <c r="D861" s="17"/>
      <c r="E861" s="542">
        <v>283956973</v>
      </c>
      <c r="F861" s="695"/>
      <c r="G861" s="542">
        <v>308239504</v>
      </c>
    </row>
    <row r="862" spans="2:8">
      <c r="B862" s="563" t="s">
        <v>227</v>
      </c>
      <c r="C862" s="35"/>
      <c r="D862" s="17"/>
      <c r="E862" s="542">
        <v>66482709</v>
      </c>
      <c r="F862" s="695"/>
      <c r="G862" s="542">
        <v>60572634</v>
      </c>
      <c r="H862" s="29">
        <f>G862-60572634</f>
        <v>0</v>
      </c>
    </row>
    <row r="863" spans="2:8">
      <c r="B863" s="563" t="s">
        <v>228</v>
      </c>
      <c r="C863" s="35"/>
      <c r="D863" s="17"/>
      <c r="E863" s="542">
        <v>402187</v>
      </c>
      <c r="F863" s="695"/>
      <c r="G863" s="542">
        <v>605873</v>
      </c>
    </row>
    <row r="864" spans="2:8" ht="12" thickBot="1">
      <c r="B864" s="563" t="s">
        <v>229</v>
      </c>
      <c r="C864" s="35"/>
      <c r="D864" s="17"/>
      <c r="E864" s="12">
        <v>1277278</v>
      </c>
      <c r="F864" s="695"/>
      <c r="G864" s="12">
        <v>1033690</v>
      </c>
    </row>
    <row r="865" spans="2:8" ht="12" thickBot="1">
      <c r="B865" s="564" t="s">
        <v>806</v>
      </c>
      <c r="C865" s="61"/>
      <c r="D865" s="544"/>
      <c r="E865" s="4">
        <f>SUM(E856:E864)</f>
        <v>1685642515</v>
      </c>
      <c r="F865" s="678"/>
      <c r="G865" s="4">
        <f>SUM(G856:G864)</f>
        <v>1596388779</v>
      </c>
    </row>
    <row r="867" spans="2:8">
      <c r="B867" s="1436" t="s">
        <v>629</v>
      </c>
      <c r="C867" s="1436"/>
      <c r="D867" s="1436"/>
      <c r="E867" s="1436"/>
    </row>
    <row r="868" spans="2:8" ht="12" thickBot="1">
      <c r="F868" s="1442" t="s">
        <v>247</v>
      </c>
      <c r="G868" s="1442"/>
    </row>
    <row r="869" spans="2:8" ht="12" thickBot="1">
      <c r="B869" s="120"/>
      <c r="C869" s="37"/>
      <c r="D869" s="1431" t="s">
        <v>808</v>
      </c>
      <c r="E869" s="1432"/>
      <c r="F869" s="1433" t="s">
        <v>809</v>
      </c>
      <c r="G869" s="1432"/>
    </row>
    <row r="870" spans="2:8">
      <c r="B870" s="227" t="s">
        <v>234</v>
      </c>
      <c r="C870" s="63"/>
      <c r="D870" s="546"/>
      <c r="E870" s="543">
        <v>80358636</v>
      </c>
      <c r="F870" s="546"/>
      <c r="G870" s="543">
        <v>74984632</v>
      </c>
      <c r="H870" s="29">
        <f>G870-74984632</f>
        <v>0</v>
      </c>
    </row>
    <row r="871" spans="2:8">
      <c r="B871" s="169" t="s">
        <v>235</v>
      </c>
      <c r="C871" s="40"/>
      <c r="D871" s="17"/>
      <c r="E871" s="542">
        <v>35146114</v>
      </c>
      <c r="F871" s="17"/>
      <c r="G871" s="542">
        <v>58126480</v>
      </c>
      <c r="H871" s="29">
        <f>G871-58126480</f>
        <v>0</v>
      </c>
    </row>
    <row r="872" spans="2:8" ht="12" thickBot="1">
      <c r="B872" s="169" t="s">
        <v>236</v>
      </c>
      <c r="C872" s="40"/>
      <c r="D872" s="17"/>
      <c r="E872" s="12">
        <v>9662746</v>
      </c>
      <c r="F872" s="17"/>
      <c r="G872" s="12">
        <v>11526318</v>
      </c>
      <c r="H872" s="29">
        <f>G872-11526318</f>
        <v>0</v>
      </c>
    </row>
    <row r="873" spans="2:8" ht="12" thickBot="1">
      <c r="B873" s="564" t="s">
        <v>806</v>
      </c>
      <c r="C873" s="50"/>
      <c r="D873" s="544"/>
      <c r="E873" s="4">
        <f>SUM(E870:E872)</f>
        <v>125167496</v>
      </c>
      <c r="F873" s="679"/>
      <c r="G873" s="4">
        <f>SUM(G870:G872)</f>
        <v>144637430</v>
      </c>
    </row>
    <row r="875" spans="2:8" ht="30" hidden="1" customHeight="1">
      <c r="B875" s="1437" t="s">
        <v>630</v>
      </c>
      <c r="C875" s="1437"/>
      <c r="D875" s="1437"/>
      <c r="E875" s="1437"/>
      <c r="F875" s="1437"/>
      <c r="G875" s="1437"/>
    </row>
    <row r="877" spans="2:8">
      <c r="B877" s="1" t="s">
        <v>631</v>
      </c>
    </row>
    <row r="878" spans="2:8" ht="12" thickBot="1">
      <c r="F878" s="1442" t="s">
        <v>247</v>
      </c>
      <c r="G878" s="1442"/>
    </row>
    <row r="879" spans="2:8" ht="12" thickBot="1">
      <c r="B879" s="120"/>
      <c r="C879" s="37"/>
      <c r="D879" s="1431" t="s">
        <v>808</v>
      </c>
      <c r="E879" s="1432"/>
      <c r="F879" s="1433" t="s">
        <v>809</v>
      </c>
      <c r="G879" s="1432"/>
    </row>
    <row r="880" spans="2:8">
      <c r="B880" s="132" t="s">
        <v>260</v>
      </c>
      <c r="C880" s="31"/>
      <c r="D880" s="546"/>
      <c r="E880" s="543">
        <v>5035630880</v>
      </c>
      <c r="F880" s="677"/>
      <c r="G880" s="543">
        <v>3620675929</v>
      </c>
    </row>
    <row r="881" spans="2:7">
      <c r="B881" s="96" t="s">
        <v>261</v>
      </c>
      <c r="C881" s="35"/>
      <c r="D881" s="17"/>
      <c r="E881" s="542">
        <v>0</v>
      </c>
      <c r="F881" s="695"/>
      <c r="G881" s="542">
        <v>7716230</v>
      </c>
    </row>
    <row r="882" spans="2:7" ht="13.5" customHeight="1">
      <c r="B882" s="1440" t="s">
        <v>262</v>
      </c>
      <c r="C882" s="1441"/>
      <c r="D882" s="17"/>
      <c r="E882" s="530">
        <v>0</v>
      </c>
      <c r="F882" s="529"/>
      <c r="G882" s="530">
        <v>0</v>
      </c>
    </row>
    <row r="883" spans="2:7" ht="13.5" customHeight="1">
      <c r="B883" s="327" t="s">
        <v>789</v>
      </c>
      <c r="C883" s="690"/>
      <c r="D883" s="17"/>
      <c r="E883" s="542">
        <v>728617705</v>
      </c>
      <c r="F883" s="695"/>
      <c r="G883" s="542">
        <v>300106845</v>
      </c>
    </row>
    <row r="884" spans="2:7" ht="12" thickBot="1">
      <c r="B884" s="72"/>
      <c r="C884" s="35"/>
      <c r="D884" s="17"/>
      <c r="E884" s="12"/>
      <c r="F884" s="695"/>
      <c r="G884" s="12"/>
    </row>
    <row r="885" spans="2:7" ht="12" thickBot="1">
      <c r="B885" s="509" t="s">
        <v>806</v>
      </c>
      <c r="C885" s="61"/>
      <c r="D885" s="544"/>
      <c r="E885" s="4">
        <f>SUM(E880:E884)</f>
        <v>5764248585</v>
      </c>
      <c r="F885" s="678"/>
      <c r="G885" s="4">
        <f>SUM(G880:G884)</f>
        <v>3928499004</v>
      </c>
    </row>
    <row r="887" spans="2:7" hidden="1">
      <c r="B887" s="1436" t="s">
        <v>263</v>
      </c>
      <c r="C887" s="1436"/>
      <c r="D887" s="1436"/>
      <c r="E887" s="1436"/>
      <c r="F887" s="1436"/>
      <c r="G887" s="1436"/>
    </row>
    <row r="888" spans="2:7" hidden="1"/>
    <row r="889" spans="2:7" hidden="1">
      <c r="B889" s="1436" t="s">
        <v>264</v>
      </c>
      <c r="C889" s="1436"/>
      <c r="D889" s="1436"/>
      <c r="E889" s="1436"/>
      <c r="F889" s="1436"/>
      <c r="G889" s="1436"/>
    </row>
    <row r="890" spans="2:7" hidden="1"/>
    <row r="891" spans="2:7" ht="56.25" hidden="1" customHeight="1">
      <c r="B891" s="1437" t="s">
        <v>934</v>
      </c>
      <c r="C891" s="1437"/>
      <c r="D891" s="1437"/>
      <c r="E891" s="1437"/>
      <c r="F891" s="1437"/>
      <c r="G891" s="1437"/>
    </row>
    <row r="893" spans="2:7">
      <c r="B893" s="70" t="s">
        <v>265</v>
      </c>
    </row>
    <row r="894" spans="2:7" ht="12" thickBot="1">
      <c r="F894" s="1442" t="s">
        <v>247</v>
      </c>
      <c r="G894" s="1442"/>
    </row>
    <row r="895" spans="2:7" ht="12" thickBot="1">
      <c r="B895" s="120"/>
      <c r="C895" s="37"/>
      <c r="D895" s="1431" t="s">
        <v>808</v>
      </c>
      <c r="E895" s="1432"/>
      <c r="F895" s="1433" t="s">
        <v>809</v>
      </c>
      <c r="G895" s="1432"/>
    </row>
    <row r="896" spans="2:7">
      <c r="B896" s="126" t="s">
        <v>266</v>
      </c>
      <c r="C896" s="63"/>
      <c r="D896" s="546"/>
      <c r="E896" s="543"/>
      <c r="F896" s="677"/>
      <c r="G896" s="543"/>
    </row>
    <row r="897" spans="2:8">
      <c r="B897" s="119" t="s">
        <v>267</v>
      </c>
      <c r="C897" s="40"/>
      <c r="D897" s="17">
        <v>1543418428</v>
      </c>
      <c r="E897" s="542"/>
      <c r="F897" s="695">
        <v>7902860589</v>
      </c>
      <c r="G897" s="542"/>
      <c r="H897" s="29">
        <f>F897-7902860589</f>
        <v>0</v>
      </c>
    </row>
    <row r="898" spans="2:8">
      <c r="B898" s="119" t="s">
        <v>268</v>
      </c>
      <c r="C898" s="40"/>
      <c r="D898" s="17">
        <v>31999905</v>
      </c>
      <c r="E898" s="542"/>
      <c r="F898" s="695">
        <v>13890334</v>
      </c>
      <c r="G898" s="542"/>
      <c r="H898" s="29">
        <f>F898-13890334</f>
        <v>0</v>
      </c>
    </row>
    <row r="899" spans="2:8" ht="22.5" customHeight="1">
      <c r="B899" s="119" t="s">
        <v>269</v>
      </c>
      <c r="C899" s="40"/>
      <c r="D899" s="17">
        <v>928368468</v>
      </c>
      <c r="E899" s="542"/>
      <c r="F899" s="695">
        <v>6335643041</v>
      </c>
      <c r="G899" s="542"/>
      <c r="H899" s="29">
        <f>F899-6335643041</f>
        <v>0</v>
      </c>
    </row>
    <row r="900" spans="2:8">
      <c r="B900" s="119" t="s">
        <v>270</v>
      </c>
      <c r="C900" s="40"/>
      <c r="D900" s="17">
        <v>31398818</v>
      </c>
      <c r="E900" s="542"/>
      <c r="F900" s="695">
        <v>26362194</v>
      </c>
      <c r="G900" s="542"/>
    </row>
    <row r="901" spans="2:8">
      <c r="B901" s="119" t="s">
        <v>387</v>
      </c>
      <c r="C901" s="40"/>
      <c r="D901" s="17">
        <v>195570573</v>
      </c>
      <c r="E901" s="542"/>
      <c r="F901" s="269">
        <v>-215522412</v>
      </c>
      <c r="G901" s="542"/>
    </row>
    <row r="902" spans="2:8">
      <c r="B902" s="119" t="s">
        <v>271</v>
      </c>
      <c r="C902" s="40"/>
      <c r="D902" s="17">
        <v>8807406269</v>
      </c>
      <c r="E902" s="542"/>
      <c r="F902" s="695">
        <v>12088139462</v>
      </c>
      <c r="G902" s="542"/>
    </row>
    <row r="903" spans="2:8">
      <c r="B903" s="119" t="s">
        <v>272</v>
      </c>
      <c r="C903" s="40"/>
      <c r="D903" s="17">
        <v>9523778</v>
      </c>
      <c r="E903" s="542"/>
      <c r="F903" s="695">
        <v>13974686</v>
      </c>
      <c r="G903" s="542"/>
      <c r="H903" s="29">
        <f>F903-13974686</f>
        <v>0</v>
      </c>
    </row>
    <row r="904" spans="2:8">
      <c r="B904" s="119" t="s">
        <v>273</v>
      </c>
      <c r="C904" s="40"/>
      <c r="D904" s="17">
        <v>10619061</v>
      </c>
      <c r="E904" s="542"/>
      <c r="F904" s="695">
        <v>11500865</v>
      </c>
      <c r="G904" s="542"/>
      <c r="H904" s="29">
        <f>F904-11500865</f>
        <v>0</v>
      </c>
    </row>
    <row r="905" spans="2:8">
      <c r="B905" s="119" t="s">
        <v>274</v>
      </c>
      <c r="C905" s="40"/>
      <c r="D905" s="17">
        <v>24117598</v>
      </c>
      <c r="E905" s="542"/>
      <c r="F905" s="695">
        <v>54243812</v>
      </c>
      <c r="G905" s="542"/>
      <c r="H905" s="29">
        <f>F905-54243812</f>
        <v>0</v>
      </c>
    </row>
    <row r="906" spans="2:8">
      <c r="B906" s="119" t="s">
        <v>600</v>
      </c>
      <c r="C906" s="40"/>
      <c r="D906" s="17">
        <v>21997477</v>
      </c>
      <c r="E906" s="542"/>
      <c r="F906" s="695">
        <v>16833650</v>
      </c>
      <c r="G906" s="542"/>
    </row>
    <row r="907" spans="2:8" ht="21.75" thickBot="1">
      <c r="B907" s="364" t="s">
        <v>275</v>
      </c>
      <c r="C907" s="40"/>
      <c r="D907" s="532">
        <v>0</v>
      </c>
      <c r="E907" s="542">
        <f>+SUM(D897:D907)</f>
        <v>11604420375</v>
      </c>
      <c r="F907" s="544">
        <v>5315465</v>
      </c>
      <c r="G907" s="542">
        <f>+SUM(F897:F907)</f>
        <v>26253241686</v>
      </c>
    </row>
    <row r="908" spans="2:8">
      <c r="B908" s="96"/>
      <c r="C908" s="40"/>
      <c r="D908" s="17"/>
      <c r="E908" s="542"/>
      <c r="F908" s="17"/>
      <c r="G908" s="542"/>
    </row>
    <row r="909" spans="2:8">
      <c r="B909" s="130" t="s">
        <v>276</v>
      </c>
      <c r="C909" s="40"/>
      <c r="D909" s="17"/>
      <c r="E909" s="542"/>
      <c r="F909" s="17"/>
      <c r="G909" s="542"/>
    </row>
    <row r="910" spans="2:8">
      <c r="B910" s="119" t="s">
        <v>277</v>
      </c>
      <c r="C910" s="40"/>
      <c r="D910" s="555">
        <v>0</v>
      </c>
      <c r="E910" s="530"/>
      <c r="F910" s="555">
        <v>0</v>
      </c>
      <c r="G910" s="542"/>
    </row>
    <row r="911" spans="2:8">
      <c r="B911" s="119" t="s">
        <v>278</v>
      </c>
      <c r="C911" s="40"/>
      <c r="D911" s="555">
        <v>0</v>
      </c>
      <c r="E911" s="530"/>
      <c r="F911" s="555">
        <v>0</v>
      </c>
      <c r="G911" s="542"/>
    </row>
    <row r="912" spans="2:8">
      <c r="B912" s="119" t="s">
        <v>279</v>
      </c>
      <c r="C912" s="40"/>
      <c r="D912" s="17">
        <v>22413310</v>
      </c>
      <c r="E912" s="542"/>
      <c r="F912" s="17">
        <v>41424839</v>
      </c>
      <c r="G912" s="542"/>
    </row>
    <row r="913" spans="2:7">
      <c r="B913" s="119" t="s">
        <v>280</v>
      </c>
      <c r="C913" s="40"/>
      <c r="D913" s="17">
        <v>39087960</v>
      </c>
      <c r="E913" s="542"/>
      <c r="F913" s="17">
        <v>37344786</v>
      </c>
      <c r="G913" s="542"/>
    </row>
    <row r="914" spans="2:7">
      <c r="B914" s="119" t="s">
        <v>281</v>
      </c>
      <c r="C914" s="40"/>
      <c r="D914" s="17">
        <v>4440999</v>
      </c>
      <c r="E914" s="542"/>
      <c r="F914" s="17">
        <v>5947279</v>
      </c>
      <c r="G914" s="542"/>
    </row>
    <row r="915" spans="2:7">
      <c r="B915" s="119" t="s">
        <v>272</v>
      </c>
      <c r="C915" s="40"/>
      <c r="D915" s="17">
        <v>3396711</v>
      </c>
      <c r="E915" s="542"/>
      <c r="F915" s="17">
        <v>2836341</v>
      </c>
      <c r="G915" s="542"/>
    </row>
    <row r="916" spans="2:7">
      <c r="B916" s="119" t="s">
        <v>282</v>
      </c>
      <c r="C916" s="40"/>
      <c r="D916" s="17">
        <v>24825900</v>
      </c>
      <c r="E916" s="542"/>
      <c r="F916" s="17">
        <v>8191448</v>
      </c>
      <c r="G916" s="542"/>
    </row>
    <row r="917" spans="2:7">
      <c r="B917" s="119" t="s">
        <v>622</v>
      </c>
      <c r="C917" s="40"/>
      <c r="D917" s="701">
        <v>-109264175</v>
      </c>
      <c r="E917" s="542"/>
      <c r="F917" s="17">
        <v>15223692</v>
      </c>
      <c r="G917" s="542"/>
    </row>
    <row r="918" spans="2:7">
      <c r="B918" s="119" t="s">
        <v>623</v>
      </c>
      <c r="C918" s="40"/>
      <c r="D918" s="698">
        <v>561469045</v>
      </c>
      <c r="E918" s="542"/>
      <c r="F918" s="17">
        <v>816602462</v>
      </c>
      <c r="G918" s="542"/>
    </row>
    <row r="919" spans="2:7" hidden="1">
      <c r="B919" s="119"/>
      <c r="C919" s="40"/>
      <c r="D919" s="17"/>
      <c r="E919" s="542"/>
      <c r="F919" s="17"/>
      <c r="G919" s="542"/>
    </row>
    <row r="920" spans="2:7" ht="12" thickBot="1">
      <c r="B920" s="119"/>
      <c r="C920" s="40"/>
      <c r="D920" s="544"/>
      <c r="E920" s="542">
        <f>+SUM(D910:D920)</f>
        <v>546369750</v>
      </c>
      <c r="F920" s="544"/>
      <c r="G920" s="542">
        <f>+SUM(F910:F920)</f>
        <v>927570847</v>
      </c>
    </row>
    <row r="921" spans="2:7" ht="12" thickBot="1">
      <c r="B921" s="72"/>
      <c r="C921" s="40"/>
      <c r="D921" s="17"/>
      <c r="E921" s="12"/>
      <c r="F921" s="17"/>
      <c r="G921" s="12"/>
    </row>
    <row r="922" spans="2:7" ht="12" thickBot="1">
      <c r="B922" s="515" t="s">
        <v>806</v>
      </c>
      <c r="C922" s="40"/>
      <c r="D922" s="17"/>
      <c r="E922" s="581">
        <f>SUM(E897:E921)</f>
        <v>12150790125</v>
      </c>
      <c r="F922" s="694"/>
      <c r="G922" s="581">
        <f>SUM(G897:G921)</f>
        <v>27180812533</v>
      </c>
    </row>
    <row r="923" spans="2:7" ht="12.75" thickTop="1" thickBot="1">
      <c r="B923" s="60"/>
      <c r="C923" s="50"/>
      <c r="D923" s="544"/>
      <c r="E923" s="12"/>
      <c r="F923" s="680"/>
      <c r="G923" s="12"/>
    </row>
    <row r="925" spans="2:7" ht="39.75" hidden="1" customHeight="1">
      <c r="B925" s="1437" t="s">
        <v>935</v>
      </c>
      <c r="C925" s="1437"/>
      <c r="D925" s="1437"/>
      <c r="E925" s="1437"/>
      <c r="F925" s="1437"/>
      <c r="G925" s="1437"/>
    </row>
    <row r="926" spans="2:7" hidden="1"/>
    <row r="927" spans="2:7" ht="35.25" hidden="1" customHeight="1">
      <c r="B927" s="1437" t="s">
        <v>936</v>
      </c>
      <c r="C927" s="1437"/>
      <c r="D927" s="1437"/>
      <c r="E927" s="1437"/>
      <c r="F927" s="1437"/>
      <c r="G927" s="1437"/>
    </row>
    <row r="929" spans="2:7" ht="21.75">
      <c r="B929" s="103" t="s">
        <v>283</v>
      </c>
    </row>
    <row r="931" spans="2:7">
      <c r="B931" s="2" t="s">
        <v>284</v>
      </c>
    </row>
    <row r="932" spans="2:7" ht="12" thickBot="1">
      <c r="F932" s="1442" t="s">
        <v>247</v>
      </c>
      <c r="G932" s="1442"/>
    </row>
    <row r="933" spans="2:7" ht="12" thickBot="1">
      <c r="B933" s="120"/>
      <c r="C933" s="37"/>
      <c r="D933" s="1431" t="s">
        <v>808</v>
      </c>
      <c r="E933" s="1432"/>
      <c r="F933" s="1433" t="s">
        <v>809</v>
      </c>
      <c r="G933" s="1432"/>
    </row>
    <row r="934" spans="2:7">
      <c r="B934" s="33"/>
      <c r="C934" s="31"/>
      <c r="D934" s="33"/>
      <c r="E934" s="63"/>
      <c r="F934" s="33"/>
      <c r="G934" s="628">
        <v>0</v>
      </c>
    </row>
    <row r="935" spans="2:7">
      <c r="B935" s="65"/>
      <c r="C935" s="35"/>
      <c r="D935" s="65"/>
      <c r="E935" s="40"/>
      <c r="F935" s="35"/>
      <c r="G935" s="590">
        <v>0</v>
      </c>
    </row>
    <row r="936" spans="2:7" ht="12" thickBot="1">
      <c r="B936" s="60"/>
      <c r="C936" s="61"/>
      <c r="D936" s="60"/>
      <c r="E936" s="50"/>
      <c r="F936" s="61"/>
      <c r="G936" s="591">
        <v>0</v>
      </c>
    </row>
    <row r="938" spans="2:7">
      <c r="B938" s="1436" t="s">
        <v>624</v>
      </c>
      <c r="C938" s="1436"/>
      <c r="D938" s="1436"/>
    </row>
    <row r="939" spans="2:7" ht="12" thickBot="1">
      <c r="F939" s="1442" t="s">
        <v>247</v>
      </c>
      <c r="G939" s="1442"/>
    </row>
    <row r="940" spans="2:7" ht="12" thickBot="1">
      <c r="B940" s="120"/>
      <c r="C940" s="37"/>
      <c r="D940" s="1431" t="s">
        <v>808</v>
      </c>
      <c r="E940" s="1432"/>
      <c r="F940" s="1433" t="s">
        <v>809</v>
      </c>
      <c r="G940" s="1432"/>
    </row>
    <row r="941" spans="2:7">
      <c r="B941" s="249" t="s">
        <v>291</v>
      </c>
      <c r="C941" s="31"/>
      <c r="D941" s="33"/>
      <c r="E941" s="63">
        <v>569152</v>
      </c>
      <c r="F941" s="33"/>
      <c r="G941" s="63">
        <v>-4829619</v>
      </c>
    </row>
    <row r="942" spans="2:7">
      <c r="B942" s="65"/>
      <c r="C942" s="35"/>
      <c r="D942" s="65"/>
      <c r="E942" s="40"/>
      <c r="F942" s="35"/>
      <c r="G942" s="590">
        <v>0</v>
      </c>
    </row>
    <row r="943" spans="2:7" ht="12" thickBot="1">
      <c r="B943" s="60"/>
      <c r="C943" s="61"/>
      <c r="D943" s="60"/>
      <c r="E943" s="50"/>
      <c r="F943" s="61"/>
      <c r="G943" s="591">
        <v>0</v>
      </c>
    </row>
    <row r="945" spans="2:7">
      <c r="B945" s="103" t="s">
        <v>1033</v>
      </c>
    </row>
    <row r="946" spans="2:7" ht="12" thickBot="1">
      <c r="F946" s="1442" t="s">
        <v>247</v>
      </c>
      <c r="G946" s="1442"/>
    </row>
    <row r="947" spans="2:7" ht="12" thickBot="1">
      <c r="B947" s="174"/>
      <c r="C947" s="37"/>
      <c r="D947" s="1431" t="s">
        <v>808</v>
      </c>
      <c r="E947" s="1432"/>
      <c r="F947" s="1433" t="s">
        <v>809</v>
      </c>
      <c r="G947" s="1432"/>
    </row>
    <row r="948" spans="2:7">
      <c r="B948" s="171" t="s">
        <v>286</v>
      </c>
      <c r="C948" s="31"/>
      <c r="D948" s="33"/>
      <c r="E948" s="63">
        <v>2425821</v>
      </c>
      <c r="F948" s="31"/>
      <c r="G948" s="63">
        <v>2078111</v>
      </c>
    </row>
    <row r="949" spans="2:7">
      <c r="B949" s="171" t="s">
        <v>287</v>
      </c>
      <c r="C949" s="35"/>
      <c r="D949" s="65"/>
      <c r="E949" s="40">
        <v>1139878</v>
      </c>
      <c r="F949" s="35"/>
      <c r="G949" s="40">
        <v>980321</v>
      </c>
    </row>
    <row r="950" spans="2:7">
      <c r="B950" s="171" t="s">
        <v>288</v>
      </c>
      <c r="C950" s="35"/>
      <c r="D950" s="65"/>
      <c r="E950" s="590">
        <v>0</v>
      </c>
      <c r="F950" s="629"/>
      <c r="G950" s="590">
        <v>0</v>
      </c>
    </row>
    <row r="951" spans="2:7">
      <c r="B951" s="171" t="s">
        <v>289</v>
      </c>
      <c r="C951" s="35"/>
      <c r="D951" s="65"/>
      <c r="E951" s="590">
        <v>0</v>
      </c>
      <c r="F951" s="629"/>
      <c r="G951" s="590">
        <v>0</v>
      </c>
    </row>
    <row r="952" spans="2:7">
      <c r="B952" s="171" t="s">
        <v>290</v>
      </c>
      <c r="C952" s="35"/>
      <c r="D952" s="65"/>
      <c r="E952" s="40">
        <v>1843883</v>
      </c>
      <c r="F952" s="35"/>
      <c r="G952" s="40">
        <v>640220</v>
      </c>
    </row>
    <row r="953" spans="2:7">
      <c r="B953" s="171" t="s">
        <v>292</v>
      </c>
      <c r="C953" s="35"/>
      <c r="D953" s="65"/>
      <c r="E953" s="565">
        <v>131610</v>
      </c>
      <c r="F953" s="35"/>
      <c r="G953" s="565">
        <v>406965</v>
      </c>
    </row>
    <row r="954" spans="2:7" ht="12" thickBot="1">
      <c r="B954" s="152" t="s">
        <v>806</v>
      </c>
      <c r="C954" s="61"/>
      <c r="D954" s="60"/>
      <c r="E954" s="585">
        <f>SUM(E948:E953)</f>
        <v>5541192</v>
      </c>
      <c r="F954" s="572"/>
      <c r="G954" s="585">
        <f>SUM(G948:G953)</f>
        <v>4105617</v>
      </c>
    </row>
    <row r="956" spans="2:7">
      <c r="B956" s="103" t="s">
        <v>293</v>
      </c>
    </row>
    <row r="957" spans="2:7" ht="12" thickBot="1">
      <c r="F957" s="1442" t="s">
        <v>247</v>
      </c>
      <c r="G957" s="1442"/>
    </row>
    <row r="958" spans="2:7" ht="12" thickBot="1">
      <c r="B958" s="120"/>
      <c r="C958" s="37"/>
      <c r="D958" s="1431" t="s">
        <v>808</v>
      </c>
      <c r="E958" s="1432"/>
      <c r="F958" s="1433" t="s">
        <v>809</v>
      </c>
      <c r="G958" s="1432"/>
    </row>
    <row r="959" spans="2:7">
      <c r="B959" s="126" t="s">
        <v>294</v>
      </c>
      <c r="C959" s="31"/>
      <c r="D959" s="546"/>
      <c r="E959" s="543"/>
      <c r="F959" s="677"/>
      <c r="G959" s="543"/>
    </row>
    <row r="960" spans="2:7">
      <c r="B960" s="119" t="s">
        <v>295</v>
      </c>
      <c r="C960" s="35"/>
      <c r="D960" s="17"/>
      <c r="E960" s="263">
        <v>20847827</v>
      </c>
      <c r="F960" s="269"/>
      <c r="G960" s="263">
        <v>75675542</v>
      </c>
    </row>
    <row r="961" spans="2:7">
      <c r="B961" s="119" t="s">
        <v>296</v>
      </c>
      <c r="C961" s="35"/>
      <c r="D961" s="17"/>
      <c r="E961" s="263">
        <v>213707</v>
      </c>
      <c r="F961" s="269"/>
      <c r="G961" s="263">
        <v>32304</v>
      </c>
    </row>
    <row r="962" spans="2:7">
      <c r="B962" s="119" t="s">
        <v>297</v>
      </c>
      <c r="C962" s="35"/>
      <c r="D962" s="17"/>
      <c r="E962" s="263">
        <v>5879666</v>
      </c>
      <c r="F962" s="269"/>
      <c r="G962" s="263">
        <v>2270489</v>
      </c>
    </row>
    <row r="963" spans="2:7">
      <c r="B963" s="119" t="s">
        <v>298</v>
      </c>
      <c r="C963" s="35"/>
      <c r="D963" s="17"/>
      <c r="E963" s="263">
        <v>4486256</v>
      </c>
      <c r="F963" s="269"/>
      <c r="G963" s="263">
        <v>1515572</v>
      </c>
    </row>
    <row r="964" spans="2:7">
      <c r="B964" s="119" t="s">
        <v>78</v>
      </c>
      <c r="C964" s="35"/>
      <c r="D964" s="17"/>
      <c r="E964" s="263">
        <v>405238</v>
      </c>
      <c r="F964" s="269"/>
      <c r="G964" s="263">
        <v>-216</v>
      </c>
    </row>
    <row r="965" spans="2:7">
      <c r="B965" s="119" t="s">
        <v>879</v>
      </c>
      <c r="C965" s="35"/>
      <c r="D965" s="17"/>
      <c r="E965" s="263">
        <v>1593248</v>
      </c>
      <c r="F965" s="269"/>
      <c r="G965" s="263">
        <v>7186</v>
      </c>
    </row>
    <row r="966" spans="2:7" ht="12" thickBot="1">
      <c r="B966" s="133" t="s">
        <v>859</v>
      </c>
      <c r="C966" s="35"/>
      <c r="D966" s="17"/>
      <c r="E966" s="547">
        <f>SUM(E960:E965)</f>
        <v>33425942</v>
      </c>
      <c r="F966" s="269"/>
      <c r="G966" s="547">
        <f>SUM(G960:G965)</f>
        <v>79500877</v>
      </c>
    </row>
    <row r="967" spans="2:7" ht="12" thickTop="1">
      <c r="B967" s="130" t="s">
        <v>299</v>
      </c>
      <c r="C967" s="35"/>
      <c r="D967" s="17"/>
      <c r="E967" s="263"/>
      <c r="F967" s="269"/>
      <c r="G967" s="263"/>
    </row>
    <row r="968" spans="2:7">
      <c r="B968" s="119" t="s">
        <v>300</v>
      </c>
      <c r="C968" s="35"/>
      <c r="D968" s="17"/>
      <c r="E968" s="263">
        <v>1845400</v>
      </c>
      <c r="F968" s="269"/>
      <c r="G968" s="263">
        <v>57300520</v>
      </c>
    </row>
    <row r="969" spans="2:7">
      <c r="B969" s="119" t="s">
        <v>298</v>
      </c>
      <c r="C969" s="35"/>
      <c r="D969" s="17"/>
      <c r="E969" s="263">
        <v>134836925</v>
      </c>
      <c r="F969" s="269"/>
      <c r="G969" s="263">
        <v>6965040</v>
      </c>
    </row>
    <row r="970" spans="2:7">
      <c r="B970" s="119" t="s">
        <v>301</v>
      </c>
      <c r="C970" s="35"/>
      <c r="D970" s="17"/>
      <c r="E970" s="263">
        <v>6007792</v>
      </c>
      <c r="F970" s="269"/>
      <c r="G970" s="263">
        <v>11625</v>
      </c>
    </row>
    <row r="971" spans="2:7" ht="12" thickBot="1">
      <c r="B971" s="133" t="s">
        <v>859</v>
      </c>
      <c r="C971" s="35"/>
      <c r="D971" s="17"/>
      <c r="E971" s="547">
        <f>SUM(E968:E970)</f>
        <v>142690117</v>
      </c>
      <c r="F971" s="269"/>
      <c r="G971" s="547">
        <f>SUM(G968:G970)</f>
        <v>64277185</v>
      </c>
    </row>
    <row r="972" spans="2:7" ht="12.75" thickTop="1" thickBot="1">
      <c r="B972" s="313" t="s">
        <v>477</v>
      </c>
      <c r="C972" s="35"/>
      <c r="D972" s="17"/>
      <c r="E972" s="586">
        <f>+E966-E971</f>
        <v>-109264175</v>
      </c>
      <c r="F972" s="296"/>
      <c r="G972" s="586">
        <f>+G966-G971</f>
        <v>15223692</v>
      </c>
    </row>
    <row r="973" spans="2:7" ht="12.75" thickTop="1" thickBot="1">
      <c r="B973" s="60"/>
      <c r="C973" s="61"/>
      <c r="D973" s="544"/>
      <c r="E973" s="12"/>
      <c r="F973" s="680"/>
      <c r="G973" s="12"/>
    </row>
    <row r="975" spans="2:7" ht="38.25" hidden="1" customHeight="1">
      <c r="B975" s="1437" t="s">
        <v>937</v>
      </c>
      <c r="C975" s="1437"/>
      <c r="D975" s="1437"/>
      <c r="E975" s="1437"/>
      <c r="F975" s="1437"/>
      <c r="G975" s="1437"/>
    </row>
    <row r="976" spans="2:7" hidden="1"/>
    <row r="977" spans="2:7" ht="56.45" hidden="1" customHeight="1">
      <c r="B977" s="1456" t="s">
        <v>938</v>
      </c>
      <c r="C977" s="1456"/>
      <c r="D977" s="1456"/>
      <c r="E977" s="1456"/>
      <c r="F977" s="1456"/>
      <c r="G977" s="1456"/>
    </row>
    <row r="978" spans="2:7" ht="12" customHeight="1">
      <c r="B978" s="688"/>
      <c r="C978" s="688"/>
      <c r="D978" s="688"/>
      <c r="E978" s="688"/>
      <c r="F978" s="688"/>
      <c r="G978" s="688"/>
    </row>
    <row r="979" spans="2:7" ht="12" customHeight="1">
      <c r="B979" s="70" t="s">
        <v>569</v>
      </c>
      <c r="C979" s="495"/>
      <c r="D979" s="495"/>
      <c r="E979" s="495"/>
      <c r="F979" s="688"/>
      <c r="G979" s="688"/>
    </row>
    <row r="980" spans="2:7" ht="12" customHeight="1">
      <c r="B980" s="70"/>
      <c r="C980" s="495"/>
      <c r="D980" s="495"/>
      <c r="E980" s="495"/>
      <c r="F980" s="688"/>
      <c r="G980" s="688"/>
    </row>
    <row r="981" spans="2:7" ht="12" customHeight="1">
      <c r="B981" s="103" t="s">
        <v>570</v>
      </c>
      <c r="C981" s="495"/>
      <c r="D981" s="495"/>
      <c r="E981" s="495"/>
      <c r="F981" s="688"/>
      <c r="G981" s="688"/>
    </row>
    <row r="982" spans="2:7" ht="12" customHeight="1" thickBot="1">
      <c r="B982" s="495"/>
      <c r="C982" s="495"/>
      <c r="F982" s="1442" t="s">
        <v>247</v>
      </c>
      <c r="G982" s="1442"/>
    </row>
    <row r="983" spans="2:7" ht="12" customHeight="1" thickBot="1">
      <c r="B983" s="120"/>
      <c r="C983" s="523"/>
      <c r="D983" s="1431" t="s">
        <v>808</v>
      </c>
      <c r="E983" s="1432"/>
      <c r="F983" s="1433" t="s">
        <v>809</v>
      </c>
      <c r="G983" s="1432"/>
    </row>
    <row r="984" spans="2:7" ht="12" customHeight="1">
      <c r="B984" s="1457" t="s">
        <v>571</v>
      </c>
      <c r="C984" s="1458"/>
      <c r="D984" s="546"/>
      <c r="E984" s="559">
        <v>12055099</v>
      </c>
      <c r="F984" s="260"/>
      <c r="G984" s="261">
        <v>107755019</v>
      </c>
    </row>
    <row r="985" spans="2:7" ht="12" customHeight="1">
      <c r="B985" s="1440" t="s">
        <v>572</v>
      </c>
      <c r="C985" s="1454"/>
      <c r="D985" s="17"/>
      <c r="E985" s="529">
        <v>0</v>
      </c>
      <c r="F985" s="555"/>
      <c r="G985" s="530">
        <v>0</v>
      </c>
    </row>
    <row r="986" spans="2:7" ht="12" customHeight="1">
      <c r="B986" s="96" t="s">
        <v>573</v>
      </c>
      <c r="C986" s="499"/>
      <c r="D986" s="17"/>
      <c r="E986" s="269">
        <v>-117341</v>
      </c>
      <c r="F986" s="262"/>
      <c r="G986" s="263">
        <v>-759662</v>
      </c>
    </row>
    <row r="987" spans="2:7" ht="12" customHeight="1">
      <c r="B987" s="96" t="s">
        <v>574</v>
      </c>
      <c r="C987" s="499"/>
      <c r="D987" s="17"/>
      <c r="E987" s="269">
        <v>25999</v>
      </c>
      <c r="F987" s="262"/>
      <c r="G987" s="530">
        <v>0</v>
      </c>
    </row>
    <row r="988" spans="2:7" ht="12" customHeight="1">
      <c r="B988" s="1440" t="s">
        <v>575</v>
      </c>
      <c r="C988" s="1454"/>
      <c r="D988" s="17"/>
      <c r="E988" s="529">
        <v>0</v>
      </c>
      <c r="F988" s="262"/>
      <c r="G988" s="530">
        <v>0</v>
      </c>
    </row>
    <row r="989" spans="2:7" ht="12" customHeight="1">
      <c r="B989" s="96" t="s">
        <v>576</v>
      </c>
      <c r="C989" s="499"/>
      <c r="D989" s="17"/>
      <c r="E989" s="529">
        <v>0</v>
      </c>
      <c r="F989" s="262"/>
      <c r="G989" s="530">
        <v>0</v>
      </c>
    </row>
    <row r="990" spans="2:7" ht="12" customHeight="1">
      <c r="B990" s="96" t="s">
        <v>90</v>
      </c>
      <c r="C990" s="499"/>
      <c r="D990" s="17"/>
      <c r="E990" s="263">
        <v>-14506470</v>
      </c>
      <c r="F990" s="262"/>
      <c r="G990" s="263">
        <v>-40979986</v>
      </c>
    </row>
    <row r="991" spans="2:7" ht="12" customHeight="1">
      <c r="B991" s="96" t="s">
        <v>91</v>
      </c>
      <c r="C991" s="499"/>
      <c r="D991" s="17"/>
      <c r="E991" s="263">
        <v>1247573</v>
      </c>
      <c r="F991" s="262"/>
      <c r="G991" s="263">
        <v>1247573</v>
      </c>
    </row>
    <row r="992" spans="2:7" ht="12" customHeight="1" thickBot="1">
      <c r="B992" s="500"/>
      <c r="C992" s="501"/>
      <c r="D992" s="544"/>
      <c r="E992" s="661">
        <f>SUM(E984:E991)</f>
        <v>-1295140</v>
      </c>
      <c r="F992" s="255"/>
      <c r="G992" s="661">
        <f>SUM(G984:G991)</f>
        <v>67262944</v>
      </c>
    </row>
    <row r="993" spans="2:7" ht="12" customHeight="1">
      <c r="B993" s="688"/>
      <c r="C993" s="688"/>
      <c r="D993" s="688"/>
      <c r="E993" s="688"/>
      <c r="F993" s="688"/>
      <c r="G993" s="688"/>
    </row>
    <row r="994" spans="2:7" ht="11.25" customHeight="1">
      <c r="B994" s="688"/>
      <c r="C994" s="688"/>
      <c r="D994" s="688"/>
      <c r="E994" s="688"/>
      <c r="F994" s="688"/>
      <c r="G994" s="688"/>
    </row>
    <row r="996" spans="2:7">
      <c r="B996" s="1451" t="s">
        <v>303</v>
      </c>
      <c r="C996" s="1451"/>
      <c r="D996" s="1451"/>
      <c r="E996" s="1451"/>
      <c r="F996" s="1451"/>
      <c r="G996" s="1451"/>
    </row>
    <row r="998" spans="2:7" ht="29.25" hidden="1" customHeight="1">
      <c r="B998" s="1455" t="s">
        <v>304</v>
      </c>
      <c r="C998" s="1455"/>
      <c r="D998" s="1455"/>
      <c r="E998" s="1455"/>
      <c r="F998" s="1455"/>
      <c r="G998" s="1455"/>
    </row>
    <row r="999" spans="2:7" hidden="1"/>
    <row r="1000" spans="2:7" hidden="1">
      <c r="B1000" s="1455" t="s">
        <v>434</v>
      </c>
      <c r="C1000" s="1455"/>
      <c r="D1000" s="1455"/>
      <c r="E1000" s="1455"/>
      <c r="F1000" s="1455"/>
      <c r="G1000" s="1455"/>
    </row>
    <row r="1002" spans="2:7">
      <c r="B1002" s="70" t="s">
        <v>435</v>
      </c>
    </row>
    <row r="1003" spans="2:7" ht="12" thickBot="1">
      <c r="F1003" s="1442" t="s">
        <v>247</v>
      </c>
      <c r="G1003" s="1442"/>
    </row>
    <row r="1004" spans="2:7" ht="12" thickBot="1">
      <c r="B1004" s="120"/>
      <c r="C1004" s="37"/>
      <c r="D1004" s="1431" t="s">
        <v>808</v>
      </c>
      <c r="E1004" s="1432"/>
      <c r="F1004" s="1433" t="s">
        <v>809</v>
      </c>
      <c r="G1004" s="1432"/>
    </row>
    <row r="1005" spans="2:7">
      <c r="B1005" s="94" t="s">
        <v>436</v>
      </c>
      <c r="C1005" s="31"/>
      <c r="D1005" s="546"/>
      <c r="E1005" s="543"/>
      <c r="F1005" s="677"/>
      <c r="G1005" s="543"/>
    </row>
    <row r="1006" spans="2:7">
      <c r="B1006" s="119" t="s">
        <v>437</v>
      </c>
      <c r="C1006" s="35"/>
      <c r="D1006" s="17"/>
      <c r="E1006" s="552">
        <v>608794349026</v>
      </c>
      <c r="F1006" s="695"/>
      <c r="G1006" s="263">
        <v>593434069987</v>
      </c>
    </row>
    <row r="1007" spans="2:7">
      <c r="B1007" s="119" t="s">
        <v>438</v>
      </c>
      <c r="C1007" s="35"/>
      <c r="D1007" s="17"/>
      <c r="E1007" s="542"/>
      <c r="F1007" s="695"/>
      <c r="G1007" s="530">
        <v>0</v>
      </c>
    </row>
    <row r="1008" spans="2:7">
      <c r="B1008" s="119" t="s">
        <v>439</v>
      </c>
      <c r="C1008" s="35"/>
      <c r="D1008" s="17"/>
      <c r="E1008" s="542"/>
      <c r="F1008" s="695"/>
      <c r="G1008" s="530">
        <v>0</v>
      </c>
    </row>
    <row r="1009" spans="2:7">
      <c r="B1009" s="119" t="s">
        <v>440</v>
      </c>
      <c r="C1009" s="35"/>
      <c r="D1009" s="17"/>
      <c r="E1009" s="542"/>
      <c r="F1009" s="695"/>
      <c r="G1009" s="530">
        <v>0</v>
      </c>
    </row>
    <row r="1010" spans="2:7" ht="12" thickBot="1">
      <c r="B1010" s="515" t="s">
        <v>806</v>
      </c>
      <c r="C1010" s="35"/>
      <c r="D1010" s="17"/>
      <c r="E1010" s="556">
        <f>SUM(E1005:E1009)</f>
        <v>608794349026</v>
      </c>
      <c r="F1010" s="695"/>
      <c r="G1010" s="547">
        <f>SUM(G1005:G1009)</f>
        <v>593434069987</v>
      </c>
    </row>
    <row r="1011" spans="2:7" ht="12.75" thickTop="1" thickBot="1">
      <c r="B1011" s="60"/>
      <c r="C1011" s="61"/>
      <c r="D1011" s="544"/>
      <c r="E1011" s="12"/>
      <c r="F1011" s="680"/>
      <c r="G1011" s="12"/>
    </row>
    <row r="1013" spans="2:7" ht="21.75">
      <c r="B1013" s="70" t="s">
        <v>441</v>
      </c>
    </row>
    <row r="1014" spans="2:7" ht="12" thickBot="1">
      <c r="F1014" s="1442" t="s">
        <v>247</v>
      </c>
      <c r="G1014" s="1442"/>
    </row>
    <row r="1015" spans="2:7" ht="12" thickBot="1">
      <c r="B1015" s="228" t="s">
        <v>442</v>
      </c>
      <c r="C1015" s="37"/>
      <c r="D1015" s="1431" t="s">
        <v>808</v>
      </c>
      <c r="E1015" s="1432"/>
      <c r="F1015" s="1433" t="s">
        <v>809</v>
      </c>
      <c r="G1015" s="1432"/>
    </row>
    <row r="1016" spans="2:7">
      <c r="B1016" s="226" t="s">
        <v>443</v>
      </c>
      <c r="C1016" s="31"/>
      <c r="D1016" s="546"/>
      <c r="E1016" s="626">
        <v>0</v>
      </c>
      <c r="F1016" s="677"/>
      <c r="G1016" s="626">
        <v>0</v>
      </c>
    </row>
    <row r="1017" spans="2:7">
      <c r="B1017" s="119" t="s">
        <v>444</v>
      </c>
      <c r="C1017" s="35"/>
      <c r="D1017" s="17"/>
      <c r="E1017" s="530">
        <v>0</v>
      </c>
      <c r="F1017" s="695"/>
      <c r="G1017" s="530">
        <v>0</v>
      </c>
    </row>
    <row r="1018" spans="2:7">
      <c r="B1018" s="119" t="s">
        <v>445</v>
      </c>
      <c r="C1018" s="35"/>
      <c r="D1018" s="17"/>
      <c r="E1018" s="530">
        <v>0</v>
      </c>
      <c r="F1018" s="695"/>
      <c r="G1018" s="530">
        <v>0</v>
      </c>
    </row>
    <row r="1019" spans="2:7">
      <c r="B1019" s="119" t="s">
        <v>298</v>
      </c>
      <c r="C1019" s="35"/>
      <c r="D1019" s="17"/>
      <c r="E1019" s="542">
        <v>469401752</v>
      </c>
      <c r="F1019" s="695"/>
      <c r="G1019" s="542">
        <v>118094143</v>
      </c>
    </row>
    <row r="1020" spans="2:7">
      <c r="B1020" s="119" t="s">
        <v>446</v>
      </c>
      <c r="C1020" s="35"/>
      <c r="D1020" s="17"/>
      <c r="E1020" s="530">
        <v>5166383</v>
      </c>
      <c r="F1020" s="695"/>
      <c r="G1020" s="542">
        <v>3133377</v>
      </c>
    </row>
    <row r="1021" spans="2:7">
      <c r="B1021" s="119" t="s">
        <v>447</v>
      </c>
      <c r="C1021" s="35"/>
      <c r="D1021" s="17"/>
      <c r="E1021" s="542">
        <v>3456417</v>
      </c>
      <c r="F1021" s="695"/>
      <c r="G1021" s="542">
        <v>5488370</v>
      </c>
    </row>
    <row r="1022" spans="2:7">
      <c r="B1022" s="119" t="s">
        <v>448</v>
      </c>
      <c r="C1022" s="35"/>
      <c r="D1022" s="17"/>
      <c r="E1022" s="542">
        <v>23151473</v>
      </c>
      <c r="F1022" s="695"/>
      <c r="G1022" s="542">
        <v>24306506</v>
      </c>
    </row>
    <row r="1023" spans="2:7">
      <c r="B1023" s="119" t="s">
        <v>449</v>
      </c>
      <c r="C1023" s="35"/>
      <c r="D1023" s="17"/>
      <c r="E1023" s="542">
        <v>10222755</v>
      </c>
      <c r="F1023" s="695"/>
      <c r="G1023" s="542">
        <v>194566689</v>
      </c>
    </row>
    <row r="1024" spans="2:7">
      <c r="B1024" s="119" t="s">
        <v>450</v>
      </c>
      <c r="C1024" s="35"/>
      <c r="D1024" s="17"/>
      <c r="E1024" s="542">
        <v>836921</v>
      </c>
      <c r="F1024" s="695"/>
      <c r="G1024" s="542">
        <v>927021</v>
      </c>
    </row>
    <row r="1025" spans="2:7">
      <c r="B1025" s="119" t="s">
        <v>451</v>
      </c>
      <c r="C1025" s="35"/>
      <c r="D1025" s="17"/>
      <c r="E1025" s="542">
        <v>607643641</v>
      </c>
      <c r="F1025" s="695"/>
      <c r="G1025" s="542">
        <v>3054135459</v>
      </c>
    </row>
    <row r="1026" spans="2:7">
      <c r="B1026" s="119" t="s">
        <v>452</v>
      </c>
      <c r="C1026" s="35"/>
      <c r="D1026" s="17"/>
      <c r="E1026" s="530">
        <v>0</v>
      </c>
      <c r="F1026" s="529"/>
      <c r="G1026" s="530">
        <v>0</v>
      </c>
    </row>
    <row r="1027" spans="2:7">
      <c r="B1027" s="119" t="s">
        <v>453</v>
      </c>
      <c r="C1027" s="35"/>
      <c r="D1027" s="17"/>
      <c r="E1027" s="530">
        <v>0</v>
      </c>
      <c r="F1027" s="529"/>
      <c r="G1027" s="530">
        <v>0</v>
      </c>
    </row>
    <row r="1028" spans="2:7">
      <c r="B1028" s="119" t="s">
        <v>454</v>
      </c>
      <c r="C1028" s="35"/>
      <c r="D1028" s="17"/>
      <c r="E1028" s="542">
        <v>25527658</v>
      </c>
      <c r="F1028" s="695"/>
      <c r="G1028" s="542">
        <v>25600577</v>
      </c>
    </row>
    <row r="1029" spans="2:7" ht="12" thickBot="1">
      <c r="B1029" s="119"/>
      <c r="C1029" s="35"/>
      <c r="D1029" s="17"/>
      <c r="E1029" s="12"/>
      <c r="F1029" s="695"/>
      <c r="G1029" s="12"/>
    </row>
    <row r="1030" spans="2:7" ht="12" thickBot="1">
      <c r="B1030" s="515" t="s">
        <v>806</v>
      </c>
      <c r="C1030" s="35"/>
      <c r="D1030" s="17"/>
      <c r="E1030" s="581">
        <f>SUM(E1016:E1029)</f>
        <v>1145407000</v>
      </c>
      <c r="F1030" s="696"/>
      <c r="G1030" s="581">
        <f>SUM(G1016:G1029)</f>
        <v>3426252142</v>
      </c>
    </row>
    <row r="1031" spans="2:7" ht="12.75" thickTop="1" thickBot="1">
      <c r="B1031" s="60"/>
      <c r="C1031" s="61"/>
      <c r="D1031" s="544"/>
      <c r="E1031" s="12"/>
      <c r="F1031" s="680"/>
      <c r="G1031" s="12"/>
    </row>
    <row r="1033" spans="2:7">
      <c r="B1033" s="110" t="s">
        <v>460</v>
      </c>
    </row>
    <row r="1034" spans="2:7" ht="12" thickBot="1">
      <c r="F1034" s="1442" t="s">
        <v>247</v>
      </c>
      <c r="G1034" s="1442"/>
    </row>
    <row r="1035" spans="2:7" ht="12" thickBot="1">
      <c r="B1035" s="111" t="s">
        <v>455</v>
      </c>
      <c r="C1035" s="37"/>
      <c r="D1035" s="1431" t="s">
        <v>808</v>
      </c>
      <c r="E1035" s="1432"/>
      <c r="F1035" s="1433" t="s">
        <v>809</v>
      </c>
      <c r="G1035" s="1432"/>
    </row>
    <row r="1036" spans="2:7">
      <c r="B1036" s="88" t="s">
        <v>456</v>
      </c>
      <c r="C1036" s="31"/>
      <c r="D1036" s="546"/>
      <c r="E1036" s="543">
        <v>20388939659</v>
      </c>
      <c r="F1036" s="677"/>
      <c r="G1036" s="543">
        <v>32068833522</v>
      </c>
    </row>
    <row r="1037" spans="2:7" ht="21">
      <c r="B1037" s="72" t="s">
        <v>457</v>
      </c>
      <c r="C1037" s="35"/>
      <c r="D1037" s="17"/>
      <c r="E1037" s="530">
        <v>0</v>
      </c>
      <c r="F1037" s="529"/>
      <c r="G1037" s="530">
        <v>0</v>
      </c>
    </row>
    <row r="1038" spans="2:7">
      <c r="B1038" s="72" t="s">
        <v>458</v>
      </c>
      <c r="C1038" s="35"/>
      <c r="D1038" s="17"/>
      <c r="E1038" s="542">
        <v>248957392</v>
      </c>
      <c r="F1038" s="695"/>
      <c r="G1038" s="542">
        <v>98877803</v>
      </c>
    </row>
    <row r="1039" spans="2:7">
      <c r="B1039" s="72" t="s">
        <v>448</v>
      </c>
      <c r="C1039" s="35"/>
      <c r="D1039" s="17"/>
      <c r="E1039" s="542">
        <v>13866331</v>
      </c>
      <c r="F1039" s="695"/>
      <c r="G1039" s="542">
        <v>14315111</v>
      </c>
    </row>
    <row r="1040" spans="2:7">
      <c r="B1040" s="72" t="s">
        <v>459</v>
      </c>
      <c r="C1040" s="35"/>
      <c r="D1040" s="17"/>
      <c r="E1040" s="542">
        <v>47451670</v>
      </c>
      <c r="F1040" s="695"/>
      <c r="G1040" s="542">
        <v>4387286</v>
      </c>
    </row>
    <row r="1041" spans="2:7" ht="12" thickBot="1">
      <c r="B1041" s="72"/>
      <c r="C1041" s="35"/>
      <c r="D1041" s="17"/>
      <c r="E1041" s="12"/>
      <c r="F1041" s="695"/>
      <c r="G1041" s="12"/>
    </row>
    <row r="1042" spans="2:7" ht="12" thickBot="1">
      <c r="B1042" s="515" t="s">
        <v>806</v>
      </c>
      <c r="C1042" s="35"/>
      <c r="D1042" s="17"/>
      <c r="E1042" s="581">
        <f>SUM(E1036:E1041)</f>
        <v>20699215052</v>
      </c>
      <c r="F1042" s="696"/>
      <c r="G1042" s="581">
        <f>SUM(G1036:G1041)</f>
        <v>32186413722</v>
      </c>
    </row>
    <row r="1043" spans="2:7" ht="12.75" thickTop="1" thickBot="1">
      <c r="B1043" s="60"/>
      <c r="C1043" s="61"/>
      <c r="D1043" s="544"/>
      <c r="E1043" s="12"/>
      <c r="F1043" s="680"/>
      <c r="G1043" s="12"/>
    </row>
    <row r="1045" spans="2:7">
      <c r="B1045" s="1450" t="s">
        <v>461</v>
      </c>
      <c r="C1045" s="1450"/>
      <c r="D1045" s="1450"/>
      <c r="E1045" s="1450"/>
      <c r="F1045" s="1450"/>
      <c r="G1045" s="1450"/>
    </row>
    <row r="1046" spans="2:7" ht="12" thickBot="1">
      <c r="F1046" s="1442" t="s">
        <v>247</v>
      </c>
      <c r="G1046" s="1442"/>
    </row>
    <row r="1047" spans="2:7" ht="12" thickBot="1">
      <c r="B1047" s="94" t="s">
        <v>455</v>
      </c>
      <c r="C1047" s="63"/>
      <c r="D1047" s="1431" t="s">
        <v>808</v>
      </c>
      <c r="E1047" s="1432"/>
      <c r="F1047" s="1433" t="s">
        <v>809</v>
      </c>
      <c r="G1047" s="1432"/>
    </row>
    <row r="1048" spans="2:7" ht="21.75" thickBot="1">
      <c r="B1048" s="64"/>
      <c r="C1048" s="80"/>
      <c r="D1048" s="84" t="s">
        <v>438</v>
      </c>
      <c r="E1048" s="682" t="s">
        <v>462</v>
      </c>
      <c r="F1048" s="84" t="s">
        <v>438</v>
      </c>
      <c r="G1048" s="682" t="s">
        <v>462</v>
      </c>
    </row>
    <row r="1049" spans="2:7">
      <c r="B1049" s="684" t="s">
        <v>463</v>
      </c>
      <c r="C1049" s="35"/>
      <c r="D1049" s="71"/>
      <c r="E1049" s="63"/>
      <c r="F1049" s="67"/>
      <c r="G1049" s="40"/>
    </row>
    <row r="1050" spans="2:7">
      <c r="B1050" s="95" t="s">
        <v>466</v>
      </c>
      <c r="C1050" s="35"/>
      <c r="D1050" s="67"/>
      <c r="E1050" s="40"/>
      <c r="F1050" s="67"/>
      <c r="G1050" s="40"/>
    </row>
    <row r="1051" spans="2:7">
      <c r="B1051" s="95" t="s">
        <v>467</v>
      </c>
      <c r="C1051" s="35"/>
      <c r="D1051" s="67"/>
      <c r="E1051" s="40"/>
      <c r="F1051" s="67"/>
      <c r="G1051" s="40"/>
    </row>
    <row r="1052" spans="2:7">
      <c r="B1052" s="684" t="s">
        <v>464</v>
      </c>
      <c r="C1052" s="35"/>
      <c r="D1052" s="67"/>
      <c r="E1052" s="40"/>
      <c r="F1052" s="67"/>
      <c r="G1052" s="40"/>
    </row>
    <row r="1053" spans="2:7">
      <c r="B1053" s="95" t="s">
        <v>466</v>
      </c>
      <c r="C1053" s="35"/>
      <c r="D1053" s="67"/>
      <c r="E1053" s="40"/>
      <c r="F1053" s="67"/>
      <c r="G1053" s="40"/>
    </row>
    <row r="1054" spans="2:7">
      <c r="B1054" s="95" t="s">
        <v>467</v>
      </c>
      <c r="C1054" s="35"/>
      <c r="D1054" s="67"/>
      <c r="E1054" s="40"/>
      <c r="F1054" s="67"/>
      <c r="G1054" s="40"/>
    </row>
    <row r="1055" spans="2:7" ht="12" thickBot="1">
      <c r="B1055" s="684" t="s">
        <v>465</v>
      </c>
      <c r="C1055" s="35"/>
      <c r="D1055" s="68"/>
      <c r="E1055" s="86"/>
      <c r="F1055" s="68"/>
      <c r="G1055" s="86"/>
    </row>
    <row r="1056" spans="2:7" ht="12.75" thickTop="1" thickBot="1">
      <c r="B1056" s="60"/>
      <c r="C1056" s="61"/>
      <c r="D1056" s="69"/>
      <c r="E1056" s="50"/>
      <c r="F1056" s="69"/>
      <c r="G1056" s="50"/>
    </row>
    <row r="1058" spans="2:7">
      <c r="B1058" s="681" t="s">
        <v>468</v>
      </c>
    </row>
    <row r="1059" spans="2:7" ht="12" thickBot="1">
      <c r="F1059" s="1442" t="s">
        <v>247</v>
      </c>
      <c r="G1059" s="1442"/>
    </row>
    <row r="1060" spans="2:7" ht="12" thickBot="1">
      <c r="B1060" s="126"/>
      <c r="C1060" s="63"/>
      <c r="D1060" s="1431" t="s">
        <v>808</v>
      </c>
      <c r="E1060" s="1432"/>
      <c r="F1060" s="1433" t="s">
        <v>809</v>
      </c>
      <c r="G1060" s="1432"/>
    </row>
    <row r="1061" spans="2:7">
      <c r="B1061" s="88" t="s">
        <v>469</v>
      </c>
      <c r="C1061" s="31"/>
      <c r="D1061" s="33"/>
      <c r="E1061" s="63"/>
      <c r="F1061" s="31"/>
      <c r="G1061" s="63">
        <v>0</v>
      </c>
    </row>
    <row r="1062" spans="2:7" ht="21">
      <c r="B1062" s="72" t="s">
        <v>470</v>
      </c>
      <c r="C1062" s="35"/>
      <c r="D1062" s="65"/>
      <c r="E1062" s="40"/>
      <c r="F1062" s="35"/>
      <c r="G1062" s="40">
        <v>0</v>
      </c>
    </row>
    <row r="1063" spans="2:7" ht="21">
      <c r="B1063" s="72" t="s">
        <v>471</v>
      </c>
      <c r="C1063" s="35"/>
      <c r="D1063" s="65"/>
      <c r="E1063" s="40"/>
      <c r="F1063" s="35"/>
      <c r="G1063" s="40">
        <v>0</v>
      </c>
    </row>
    <row r="1064" spans="2:7" ht="12" thickBot="1">
      <c r="B1064" s="75" t="s">
        <v>472</v>
      </c>
      <c r="C1064" s="61"/>
      <c r="D1064" s="60"/>
      <c r="E1064" s="50"/>
      <c r="F1064" s="61"/>
      <c r="G1064" s="50"/>
    </row>
    <row r="1066" spans="2:7" hidden="1">
      <c r="B1066" s="70" t="s">
        <v>473</v>
      </c>
    </row>
    <row r="1067" spans="2:7" hidden="1"/>
    <row r="1068" spans="2:7" ht="54" hidden="1" customHeight="1">
      <c r="B1068" s="1461" t="s">
        <v>939</v>
      </c>
      <c r="C1068" s="1449"/>
      <c r="D1068" s="1449"/>
      <c r="E1068" s="1449"/>
      <c r="F1068" s="1449"/>
      <c r="G1068" s="1449"/>
    </row>
    <row r="1069" spans="2:7" hidden="1"/>
    <row r="1070" spans="2:7" ht="26.25" hidden="1" customHeight="1">
      <c r="B1070" s="1461" t="s">
        <v>478</v>
      </c>
      <c r="C1070" s="1461"/>
      <c r="D1070" s="1461"/>
      <c r="E1070" s="1461"/>
      <c r="F1070" s="1461"/>
      <c r="G1070" s="1461"/>
    </row>
    <row r="1071" spans="2:7" hidden="1"/>
    <row r="1072" spans="2:7" ht="24" hidden="1" customHeight="1">
      <c r="B1072" s="1461" t="s">
        <v>479</v>
      </c>
      <c r="C1072" s="1449"/>
      <c r="D1072" s="1449"/>
      <c r="E1072" s="1449"/>
      <c r="F1072" s="1449"/>
      <c r="G1072" s="1449"/>
    </row>
    <row r="1073" spans="2:7" hidden="1"/>
    <row r="1074" spans="2:7" hidden="1">
      <c r="B1074" s="1450" t="s">
        <v>480</v>
      </c>
      <c r="C1074" s="1451"/>
      <c r="D1074" s="1451"/>
      <c r="E1074" s="1451"/>
      <c r="F1074" s="1451"/>
      <c r="G1074" s="1451"/>
    </row>
    <row r="1075" spans="2:7" hidden="1"/>
    <row r="1076" spans="2:7" ht="23.25" hidden="1" customHeight="1">
      <c r="B1076" s="1459" t="s">
        <v>481</v>
      </c>
      <c r="C1076" s="1459"/>
      <c r="D1076" s="1459"/>
      <c r="E1076" s="1459"/>
      <c r="F1076" s="1459"/>
      <c r="G1076" s="1459"/>
    </row>
    <row r="1077" spans="2:7" hidden="1"/>
    <row r="1078" spans="2:7" ht="21" hidden="1" customHeight="1">
      <c r="B1078" s="1437" t="s">
        <v>482</v>
      </c>
      <c r="C1078" s="1459"/>
      <c r="D1078" s="1459"/>
      <c r="E1078" s="1459"/>
      <c r="F1078" s="1459"/>
      <c r="G1078" s="1459"/>
    </row>
    <row r="1079" spans="2:7" hidden="1"/>
    <row r="1080" spans="2:7" ht="33.75" hidden="1" customHeight="1">
      <c r="B1080" s="1460" t="s">
        <v>940</v>
      </c>
      <c r="C1080" s="1460"/>
      <c r="D1080" s="1460"/>
      <c r="E1080" s="1460"/>
      <c r="F1080" s="1460"/>
      <c r="G1080" s="1460"/>
    </row>
    <row r="1081" spans="2:7" hidden="1"/>
    <row r="1082" spans="2:7" hidden="1">
      <c r="B1082" s="2" t="s">
        <v>484</v>
      </c>
    </row>
    <row r="1083" spans="2:7" ht="27.75" hidden="1" customHeight="1">
      <c r="B1083" s="1437" t="s">
        <v>485</v>
      </c>
      <c r="C1083" s="1437"/>
      <c r="D1083" s="1437"/>
      <c r="E1083" s="1437"/>
      <c r="F1083" s="1437"/>
      <c r="G1083" s="1437"/>
    </row>
    <row r="1084" spans="2:7" hidden="1">
      <c r="B1084" s="1437" t="s">
        <v>486</v>
      </c>
      <c r="C1084" s="1437"/>
      <c r="D1084" s="1437"/>
      <c r="E1084" s="1437"/>
      <c r="F1084" s="1437"/>
      <c r="G1084" s="1437"/>
    </row>
    <row r="1085" spans="2:7" ht="51.75" hidden="1" customHeight="1">
      <c r="B1085" s="1437" t="s">
        <v>15</v>
      </c>
      <c r="C1085" s="1437"/>
      <c r="D1085" s="1437"/>
      <c r="E1085" s="1437"/>
      <c r="F1085" s="1437"/>
      <c r="G1085" s="1437"/>
    </row>
    <row r="1086" spans="2:7" hidden="1"/>
    <row r="1087" spans="2:7" hidden="1">
      <c r="B1087" s="1436" t="s">
        <v>487</v>
      </c>
      <c r="C1087" s="1436"/>
      <c r="D1087" s="1436"/>
      <c r="E1087" s="1436"/>
      <c r="F1087" s="1436"/>
      <c r="G1087" s="1436"/>
    </row>
    <row r="1088" spans="2:7" hidden="1"/>
    <row r="1089" spans="2:8" hidden="1">
      <c r="B1089" s="1436" t="s">
        <v>488</v>
      </c>
      <c r="C1089" s="1436"/>
      <c r="D1089" s="1436"/>
      <c r="E1089" s="1436"/>
      <c r="F1089" s="1436"/>
      <c r="G1089" s="1436"/>
    </row>
    <row r="1090" spans="2:8" ht="12" hidden="1" thickBot="1">
      <c r="G1090" s="1" t="s">
        <v>826</v>
      </c>
    </row>
    <row r="1091" spans="2:8" ht="35.25" hidden="1" customHeight="1" thickBot="1">
      <c r="B1091" s="81" t="s">
        <v>495</v>
      </c>
      <c r="D1091" s="85" t="s">
        <v>490</v>
      </c>
      <c r="E1091" s="682" t="s">
        <v>494</v>
      </c>
      <c r="F1091" s="85" t="s">
        <v>491</v>
      </c>
      <c r="G1091" s="85" t="s">
        <v>492</v>
      </c>
      <c r="H1091" s="85" t="s">
        <v>493</v>
      </c>
    </row>
    <row r="1092" spans="2:8" ht="21" hidden="1">
      <c r="B1092" s="82" t="s">
        <v>496</v>
      </c>
      <c r="D1092" s="71"/>
      <c r="E1092" s="71"/>
      <c r="F1092" s="71"/>
      <c r="G1092" s="71"/>
      <c r="H1092" s="63"/>
    </row>
    <row r="1093" spans="2:8" hidden="1">
      <c r="B1093" s="78" t="s">
        <v>499</v>
      </c>
      <c r="D1093" s="67"/>
      <c r="E1093" s="67"/>
      <c r="F1093" s="67"/>
      <c r="G1093" s="67"/>
      <c r="H1093" s="40"/>
    </row>
    <row r="1094" spans="2:8" hidden="1">
      <c r="B1094" s="78" t="s">
        <v>500</v>
      </c>
      <c r="D1094" s="67"/>
      <c r="E1094" s="67"/>
      <c r="F1094" s="67"/>
      <c r="G1094" s="67"/>
      <c r="H1094" s="40"/>
    </row>
    <row r="1095" spans="2:8" hidden="1">
      <c r="B1095" s="78" t="s">
        <v>501</v>
      </c>
      <c r="D1095" s="67"/>
      <c r="E1095" s="67"/>
      <c r="F1095" s="67"/>
      <c r="G1095" s="67"/>
      <c r="H1095" s="40"/>
    </row>
    <row r="1096" spans="2:8" hidden="1">
      <c r="B1096" s="78" t="s">
        <v>502</v>
      </c>
      <c r="D1096" s="67"/>
      <c r="E1096" s="67"/>
      <c r="F1096" s="67"/>
      <c r="G1096" s="67"/>
      <c r="H1096" s="40"/>
    </row>
    <row r="1097" spans="2:8" ht="14.25" hidden="1" customHeight="1">
      <c r="B1097" s="78" t="s">
        <v>503</v>
      </c>
      <c r="D1097" s="67"/>
      <c r="E1097" s="67"/>
      <c r="F1097" s="67"/>
      <c r="G1097" s="67"/>
      <c r="H1097" s="40"/>
    </row>
    <row r="1098" spans="2:8" ht="12" hidden="1" thickBot="1">
      <c r="B1098" s="77" t="s">
        <v>504</v>
      </c>
      <c r="D1098" s="69"/>
      <c r="E1098" s="69"/>
      <c r="F1098" s="69"/>
      <c r="G1098" s="69"/>
      <c r="H1098" s="50"/>
    </row>
    <row r="1099" spans="2:8" hidden="1"/>
    <row r="1100" spans="2:8" ht="12" hidden="1">
      <c r="B1100" s="1436" t="s">
        <v>505</v>
      </c>
      <c r="C1100" s="1436"/>
      <c r="D1100" s="1436"/>
      <c r="E1100" s="1436"/>
      <c r="F1100" s="1436"/>
      <c r="G1100" s="1436"/>
    </row>
    <row r="1101" spans="2:8" ht="12" hidden="1" thickBot="1">
      <c r="G1101" s="1" t="s">
        <v>826</v>
      </c>
    </row>
    <row r="1102" spans="2:8" ht="21.75" hidden="1" thickBot="1">
      <c r="B1102" s="64" t="s">
        <v>495</v>
      </c>
      <c r="D1102" s="85" t="s">
        <v>490</v>
      </c>
      <c r="E1102" s="682" t="s">
        <v>494</v>
      </c>
      <c r="F1102" s="85" t="s">
        <v>491</v>
      </c>
      <c r="G1102" s="85" t="s">
        <v>492</v>
      </c>
      <c r="H1102" s="85" t="s">
        <v>493</v>
      </c>
    </row>
    <row r="1103" spans="2:8" hidden="1">
      <c r="B1103" s="88" t="s">
        <v>506</v>
      </c>
      <c r="D1103" s="71"/>
      <c r="E1103" s="31"/>
      <c r="F1103" s="71"/>
      <c r="G1103" s="71"/>
      <c r="H1103" s="63"/>
    </row>
    <row r="1104" spans="2:8" hidden="1">
      <c r="B1104" s="72" t="s">
        <v>499</v>
      </c>
      <c r="D1104" s="67"/>
      <c r="E1104" s="35"/>
      <c r="F1104" s="67"/>
      <c r="G1104" s="67"/>
      <c r="H1104" s="40"/>
    </row>
    <row r="1105" spans="2:8" hidden="1">
      <c r="B1105" s="72" t="s">
        <v>507</v>
      </c>
      <c r="D1105" s="67"/>
      <c r="E1105" s="35"/>
      <c r="F1105" s="67"/>
      <c r="G1105" s="67"/>
      <c r="H1105" s="40"/>
    </row>
    <row r="1106" spans="2:8" ht="13.5" hidden="1" customHeight="1">
      <c r="B1106" s="72" t="s">
        <v>508</v>
      </c>
      <c r="D1106" s="67"/>
      <c r="E1106" s="35"/>
      <c r="F1106" s="67"/>
      <c r="G1106" s="67"/>
      <c r="H1106" s="40"/>
    </row>
    <row r="1107" spans="2:8" ht="21" hidden="1">
      <c r="B1107" s="72" t="s">
        <v>510</v>
      </c>
      <c r="D1107" s="67">
        <f>+D1103+D1104+D1105+D1106</f>
        <v>0</v>
      </c>
      <c r="E1107" s="67">
        <f>+E1103+E1104+E1105+E1106</f>
        <v>0</v>
      </c>
      <c r="F1107" s="67">
        <f>+F1103+F1104+F1105+F1106</f>
        <v>0</v>
      </c>
      <c r="G1107" s="67">
        <f>+G1103+G1104+G1105+G1106</f>
        <v>0</v>
      </c>
      <c r="H1107" s="67">
        <f>+H1103+H1104+H1105+H1106</f>
        <v>0</v>
      </c>
    </row>
    <row r="1108" spans="2:8" ht="12" hidden="1" thickBot="1">
      <c r="B1108" s="60" t="s">
        <v>509</v>
      </c>
      <c r="D1108" s="69"/>
      <c r="E1108" s="61"/>
      <c r="F1108" s="69"/>
      <c r="G1108" s="69"/>
      <c r="H1108" s="50"/>
    </row>
    <row r="1109" spans="2:8" hidden="1"/>
    <row r="1110" spans="2:8" hidden="1">
      <c r="B1110" s="683" t="s">
        <v>511</v>
      </c>
      <c r="C1110" s="76"/>
      <c r="D1110" s="76"/>
      <c r="E1110" s="76"/>
      <c r="F1110" s="76"/>
      <c r="G1110" s="76"/>
    </row>
    <row r="1111" spans="2:8" ht="12" hidden="1" thickBot="1">
      <c r="E1111" s="1" t="s">
        <v>826</v>
      </c>
    </row>
    <row r="1112" spans="2:8" ht="12" hidden="1" thickBot="1">
      <c r="B1112" s="81"/>
      <c r="D1112" s="64"/>
      <c r="E1112" s="19" t="s">
        <v>490</v>
      </c>
    </row>
    <row r="1113" spans="2:8" hidden="1">
      <c r="B1113" s="78" t="s">
        <v>512</v>
      </c>
      <c r="D1113" s="65"/>
      <c r="E1113" s="40"/>
    </row>
    <row r="1114" spans="2:8" hidden="1">
      <c r="B1114" s="78" t="s">
        <v>513</v>
      </c>
      <c r="D1114" s="65"/>
      <c r="E1114" s="40"/>
    </row>
    <row r="1115" spans="2:8" hidden="1">
      <c r="B1115" s="78" t="s">
        <v>514</v>
      </c>
      <c r="D1115" s="65"/>
      <c r="E1115" s="40"/>
    </row>
    <row r="1116" spans="2:8" hidden="1">
      <c r="B1116" s="78" t="s">
        <v>489</v>
      </c>
      <c r="D1116" s="65"/>
      <c r="E1116" s="40"/>
    </row>
    <row r="1117" spans="2:8" hidden="1">
      <c r="B1117" s="78" t="s">
        <v>515</v>
      </c>
      <c r="D1117" s="65"/>
      <c r="E1117" s="40"/>
    </row>
    <row r="1118" spans="2:8" ht="12" hidden="1" thickBot="1">
      <c r="B1118" s="77" t="s">
        <v>516</v>
      </c>
      <c r="D1118" s="60"/>
      <c r="E1118" s="50"/>
    </row>
    <row r="1119" spans="2:8" hidden="1"/>
    <row r="1120" spans="2:8" ht="22.5" hidden="1" customHeight="1">
      <c r="B1120" s="1437" t="s">
        <v>517</v>
      </c>
      <c r="C1120" s="1437"/>
      <c r="D1120" s="1437"/>
      <c r="E1120" s="1437"/>
      <c r="F1120" s="1437"/>
      <c r="G1120" s="1437"/>
    </row>
    <row r="1121" spans="2:7" ht="12" hidden="1" thickBot="1">
      <c r="E1121" s="1" t="s">
        <v>826</v>
      </c>
    </row>
    <row r="1122" spans="2:7" ht="33" hidden="1" thickBot="1">
      <c r="B1122" s="79" t="s">
        <v>520</v>
      </c>
      <c r="D1122" s="135" t="s">
        <v>518</v>
      </c>
      <c r="E1122" s="136" t="s">
        <v>519</v>
      </c>
    </row>
    <row r="1123" spans="2:7" ht="21" hidden="1">
      <c r="B1123" s="72" t="s">
        <v>521</v>
      </c>
      <c r="D1123" s="134"/>
      <c r="E1123" s="87"/>
    </row>
    <row r="1124" spans="2:7" ht="12" hidden="1" thickBot="1">
      <c r="B1124" s="75" t="s">
        <v>522</v>
      </c>
      <c r="D1124" s="69"/>
      <c r="E1124" s="50"/>
    </row>
    <row r="1125" spans="2:7" hidden="1"/>
    <row r="1126" spans="2:7" ht="12" hidden="1" thickBot="1">
      <c r="B1126" s="103" t="s">
        <v>523</v>
      </c>
    </row>
    <row r="1127" spans="2:7" ht="22.5" hidden="1" thickBot="1">
      <c r="B1127" s="11" t="s">
        <v>525</v>
      </c>
      <c r="D1127" s="135" t="s">
        <v>524</v>
      </c>
    </row>
    <row r="1128" spans="2:7" ht="14.25" hidden="1">
      <c r="B1128" s="78" t="s">
        <v>529</v>
      </c>
      <c r="D1128" s="134"/>
    </row>
    <row r="1129" spans="2:7" hidden="1">
      <c r="B1129" s="78" t="s">
        <v>526</v>
      </c>
      <c r="D1129" s="67"/>
    </row>
    <row r="1130" spans="2:7" hidden="1">
      <c r="B1130" s="78" t="s">
        <v>528</v>
      </c>
      <c r="D1130" s="67"/>
    </row>
    <row r="1131" spans="2:7" hidden="1">
      <c r="B1131" s="78" t="s">
        <v>530</v>
      </c>
      <c r="D1131" s="67"/>
    </row>
    <row r="1132" spans="2:7" ht="12" hidden="1" thickBot="1">
      <c r="B1132" s="77" t="s">
        <v>531</v>
      </c>
      <c r="D1132" s="69"/>
    </row>
    <row r="1133" spans="2:7" hidden="1"/>
    <row r="1134" spans="2:7" ht="33.75" hidden="1" customHeight="1">
      <c r="B1134" s="1461" t="s">
        <v>941</v>
      </c>
      <c r="C1134" s="1449"/>
      <c r="D1134" s="1449"/>
      <c r="E1134" s="1449"/>
      <c r="F1134" s="1449"/>
      <c r="G1134" s="1449"/>
    </row>
    <row r="1135" spans="2:7" hidden="1"/>
    <row r="1136" spans="2:7" hidden="1">
      <c r="B1136" s="1461" t="s">
        <v>532</v>
      </c>
      <c r="C1136" s="1449"/>
      <c r="D1136" s="1449"/>
      <c r="E1136" s="1449"/>
      <c r="F1136" s="1449"/>
      <c r="G1136" s="1449"/>
    </row>
    <row r="1137" spans="2:7" ht="12.75" hidden="1" customHeight="1">
      <c r="B1137" s="1449" t="s">
        <v>533</v>
      </c>
      <c r="C1137" s="1449"/>
      <c r="D1137" s="1449"/>
      <c r="E1137" s="1449"/>
      <c r="F1137" s="1449"/>
      <c r="G1137" s="1449"/>
    </row>
    <row r="1138" spans="2:7" hidden="1">
      <c r="B1138" s="683" t="s">
        <v>305</v>
      </c>
    </row>
    <row r="1139" spans="2:7" ht="12.75" hidden="1" customHeight="1">
      <c r="B1139" s="1436" t="s">
        <v>306</v>
      </c>
      <c r="C1139" s="1436"/>
      <c r="D1139" s="1436"/>
      <c r="E1139" s="1436"/>
    </row>
    <row r="1140" spans="2:7" ht="14.25" hidden="1">
      <c r="B1140" s="103" t="s">
        <v>307</v>
      </c>
      <c r="C1140" s="102"/>
    </row>
    <row r="1141" spans="2:7" ht="14.25" hidden="1">
      <c r="B1141" s="103" t="s">
        <v>308</v>
      </c>
      <c r="C1141" s="102"/>
    </row>
    <row r="1142" spans="2:7" ht="14.25" hidden="1">
      <c r="B1142" s="103" t="s">
        <v>309</v>
      </c>
      <c r="C1142" s="102"/>
      <c r="D1142"/>
    </row>
    <row r="1143" spans="2:7" ht="14.25" hidden="1">
      <c r="B1143" s="103" t="s">
        <v>310</v>
      </c>
      <c r="C1143" s="102"/>
      <c r="D1143" s="102"/>
    </row>
    <row r="1144" spans="2:7" ht="14.25" hidden="1">
      <c r="B1144" s="103" t="s">
        <v>311</v>
      </c>
      <c r="C1144" s="102"/>
      <c r="D1144"/>
    </row>
    <row r="1145" spans="2:7" ht="14.25" hidden="1">
      <c r="B1145" s="103" t="s">
        <v>312</v>
      </c>
      <c r="C1145" s="102"/>
      <c r="D1145"/>
    </row>
    <row r="1146" spans="2:7" hidden="1"/>
    <row r="1147" spans="2:7" hidden="1">
      <c r="B1147" s="683" t="s">
        <v>313</v>
      </c>
    </row>
    <row r="1148" spans="2:7" hidden="1">
      <c r="B1148" s="103" t="s">
        <v>314</v>
      </c>
    </row>
    <row r="1149" spans="2:7" hidden="1"/>
    <row r="1150" spans="2:7" hidden="1">
      <c r="B1150" s="2" t="s">
        <v>318</v>
      </c>
    </row>
    <row r="1151" spans="2:7" ht="12.75" hidden="1">
      <c r="B1151" s="103" t="s">
        <v>316</v>
      </c>
      <c r="C1151"/>
    </row>
    <row r="1152" spans="2:7" ht="21.75" hidden="1">
      <c r="B1152" s="103" t="s">
        <v>315</v>
      </c>
      <c r="C1152" s="102"/>
    </row>
    <row r="1153" spans="2:8" hidden="1"/>
    <row r="1154" spans="2:8" hidden="1">
      <c r="B1154" s="2" t="s">
        <v>317</v>
      </c>
    </row>
    <row r="1155" spans="2:8" ht="12.75" hidden="1">
      <c r="B1155" s="103" t="s">
        <v>319</v>
      </c>
      <c r="C1155"/>
    </row>
    <row r="1156" spans="2:8" hidden="1">
      <c r="B1156" s="103" t="s">
        <v>320</v>
      </c>
    </row>
    <row r="1157" spans="2:8" ht="21.75" hidden="1">
      <c r="B1157" s="103" t="s">
        <v>321</v>
      </c>
    </row>
    <row r="1158" spans="2:8" hidden="1">
      <c r="B1158" s="1436" t="s">
        <v>325</v>
      </c>
      <c r="C1158" s="1436"/>
      <c r="D1158" s="1436"/>
    </row>
    <row r="1159" spans="2:8" hidden="1">
      <c r="B1159" s="103" t="s">
        <v>326</v>
      </c>
    </row>
    <row r="1160" spans="2:8" hidden="1">
      <c r="B1160" s="103" t="s">
        <v>327</v>
      </c>
    </row>
    <row r="1161" spans="2:8" hidden="1">
      <c r="B1161" s="103" t="s">
        <v>328</v>
      </c>
    </row>
    <row r="1162" spans="2:8" hidden="1">
      <c r="B1162" s="103" t="s">
        <v>329</v>
      </c>
    </row>
    <row r="1163" spans="2:8" hidden="1">
      <c r="B1163" s="103" t="s">
        <v>329</v>
      </c>
    </row>
    <row r="1166" spans="2:8">
      <c r="B1166" s="1" t="s">
        <v>330</v>
      </c>
    </row>
    <row r="1167" spans="2:8" ht="12" thickBot="1">
      <c r="G1167" s="1442" t="s">
        <v>247</v>
      </c>
      <c r="H1167" s="1442"/>
    </row>
    <row r="1168" spans="2:8" ht="41.25" customHeight="1" thickBot="1">
      <c r="B1168" s="85" t="s">
        <v>77</v>
      </c>
      <c r="D1168" s="137" t="s">
        <v>331</v>
      </c>
      <c r="E1168" s="137" t="s">
        <v>332</v>
      </c>
      <c r="F1168" s="137" t="s">
        <v>333</v>
      </c>
      <c r="G1168" s="137" t="s">
        <v>334</v>
      </c>
      <c r="H1168" s="137" t="s">
        <v>806</v>
      </c>
    </row>
    <row r="1169" spans="2:8">
      <c r="B1169" s="116" t="s">
        <v>335</v>
      </c>
      <c r="D1169" s="40"/>
      <c r="E1169" s="138"/>
      <c r="F1169" s="138"/>
      <c r="G1169" s="138"/>
      <c r="H1169" s="138"/>
    </row>
    <row r="1170" spans="2:8">
      <c r="B1170" s="116" t="s">
        <v>336</v>
      </c>
      <c r="D1170" s="40"/>
      <c r="E1170" s="40"/>
      <c r="F1170" s="40"/>
      <c r="G1170" s="40"/>
      <c r="H1170" s="40"/>
    </row>
    <row r="1171" spans="2:8">
      <c r="B1171" s="116" t="s">
        <v>337</v>
      </c>
      <c r="D1171" s="40"/>
      <c r="E1171" s="40"/>
      <c r="F1171" s="40"/>
      <c r="G1171" s="40"/>
      <c r="H1171" s="40"/>
    </row>
    <row r="1172" spans="2:8">
      <c r="B1172" s="116" t="s">
        <v>338</v>
      </c>
      <c r="D1172" s="40"/>
      <c r="E1172" s="40"/>
      <c r="F1172" s="40"/>
      <c r="G1172" s="40"/>
      <c r="H1172" s="40"/>
    </row>
    <row r="1173" spans="2:8" ht="21.75">
      <c r="B1173" s="116" t="s">
        <v>339</v>
      </c>
      <c r="D1173" s="40"/>
      <c r="E1173" s="40"/>
      <c r="F1173" s="40"/>
      <c r="G1173" s="40"/>
      <c r="H1173" s="40"/>
    </row>
    <row r="1174" spans="2:8">
      <c r="B1174" s="116" t="s">
        <v>340</v>
      </c>
      <c r="D1174" s="40"/>
      <c r="E1174" s="40"/>
      <c r="F1174" s="40"/>
      <c r="G1174" s="40"/>
      <c r="H1174" s="40"/>
    </row>
    <row r="1175" spans="2:8">
      <c r="B1175" s="116" t="s">
        <v>341</v>
      </c>
      <c r="D1175" s="40"/>
      <c r="E1175" s="40"/>
      <c r="F1175" s="40"/>
      <c r="G1175" s="40"/>
      <c r="H1175" s="40"/>
    </row>
    <row r="1176" spans="2:8">
      <c r="B1176" s="116" t="s">
        <v>342</v>
      </c>
      <c r="D1176" s="40"/>
      <c r="E1176" s="40"/>
      <c r="F1176" s="40"/>
      <c r="G1176" s="40"/>
      <c r="H1176" s="40"/>
    </row>
    <row r="1177" spans="2:8">
      <c r="B1177" s="116" t="s">
        <v>343</v>
      </c>
      <c r="D1177" s="40"/>
      <c r="E1177" s="40"/>
      <c r="F1177" s="40"/>
      <c r="G1177" s="40"/>
      <c r="H1177" s="40"/>
    </row>
    <row r="1178" spans="2:8">
      <c r="B1178" s="116" t="s">
        <v>344</v>
      </c>
      <c r="D1178" s="40"/>
      <c r="E1178" s="40"/>
      <c r="F1178" s="40"/>
      <c r="G1178" s="40"/>
      <c r="H1178" s="40"/>
    </row>
    <row r="1179" spans="2:8">
      <c r="B1179" s="116" t="s">
        <v>345</v>
      </c>
      <c r="D1179" s="40"/>
      <c r="E1179" s="40"/>
      <c r="F1179" s="40"/>
      <c r="G1179" s="40"/>
      <c r="H1179" s="40"/>
    </row>
    <row r="1180" spans="2:8">
      <c r="B1180" s="116" t="s">
        <v>346</v>
      </c>
      <c r="D1180" s="40"/>
      <c r="E1180" s="40"/>
      <c r="F1180" s="40"/>
      <c r="G1180" s="40"/>
      <c r="H1180" s="40"/>
    </row>
    <row r="1181" spans="2:8" ht="12" thickBot="1">
      <c r="B1181" s="69"/>
      <c r="D1181" s="50"/>
      <c r="E1181" s="50"/>
      <c r="F1181" s="50"/>
      <c r="G1181" s="50"/>
      <c r="H1181" s="50"/>
    </row>
    <row r="1183" spans="2:8">
      <c r="B1183" s="110" t="s">
        <v>347</v>
      </c>
    </row>
    <row r="1184" spans="2:8" ht="12" thickBot="1">
      <c r="B1184" s="110"/>
    </row>
    <row r="1185" spans="2:10" ht="12" thickBot="1">
      <c r="B1185" s="79" t="s">
        <v>77</v>
      </c>
      <c r="D1185" s="121" t="s">
        <v>808</v>
      </c>
      <c r="E1185" s="73" t="s">
        <v>809</v>
      </c>
    </row>
    <row r="1186" spans="2:10">
      <c r="B1186" s="72" t="s">
        <v>349</v>
      </c>
      <c r="D1186" s="139"/>
      <c r="E1186" s="89"/>
    </row>
    <row r="1187" spans="2:10">
      <c r="B1187" s="72" t="s">
        <v>348</v>
      </c>
      <c r="D1187" s="139"/>
      <c r="E1187" s="89"/>
    </row>
    <row r="1188" spans="2:10">
      <c r="B1188" s="72" t="s">
        <v>350</v>
      </c>
      <c r="D1188" s="146"/>
      <c r="E1188" s="89"/>
    </row>
    <row r="1189" spans="2:10" ht="23.25" thickBot="1">
      <c r="B1189" s="75" t="s">
        <v>351</v>
      </c>
      <c r="D1189" s="147"/>
      <c r="E1189" s="74"/>
    </row>
    <row r="1191" spans="2:10" ht="37.5" customHeight="1">
      <c r="B1191" s="1461" t="s">
        <v>0</v>
      </c>
      <c r="C1191" s="1449"/>
      <c r="D1191" s="1449"/>
      <c r="E1191" s="1449"/>
      <c r="F1191" s="1449"/>
      <c r="G1191" s="1449"/>
    </row>
    <row r="1193" spans="2:10" ht="12" thickBot="1">
      <c r="I1193" s="1" t="s">
        <v>826</v>
      </c>
    </row>
    <row r="1194" spans="2:10" ht="84.75" thickBot="1">
      <c r="B1194" s="140" t="s">
        <v>353</v>
      </c>
      <c r="D1194" s="141" t="s">
        <v>354</v>
      </c>
      <c r="E1194" s="140" t="s">
        <v>352</v>
      </c>
      <c r="F1194" s="140" t="s">
        <v>355</v>
      </c>
      <c r="G1194" s="140" t="s">
        <v>299</v>
      </c>
      <c r="H1194" s="141" t="s">
        <v>294</v>
      </c>
      <c r="I1194" s="141" t="s">
        <v>356</v>
      </c>
      <c r="J1194" s="141" t="s">
        <v>358</v>
      </c>
    </row>
    <row r="1195" spans="2:10">
      <c r="B1195" s="82" t="s">
        <v>359</v>
      </c>
      <c r="D1195" s="71">
        <v>26</v>
      </c>
      <c r="E1195" s="71"/>
      <c r="F1195" s="71"/>
      <c r="G1195" s="71"/>
      <c r="H1195" s="71"/>
      <c r="I1195" s="71"/>
      <c r="J1195" s="63"/>
    </row>
    <row r="1196" spans="2:10" ht="21">
      <c r="B1196" s="78" t="s">
        <v>360</v>
      </c>
      <c r="D1196" s="67">
        <v>26</v>
      </c>
      <c r="E1196" s="67"/>
      <c r="F1196" s="67"/>
      <c r="G1196" s="67"/>
      <c r="H1196" s="67"/>
      <c r="I1196" s="67"/>
      <c r="J1196" s="40"/>
    </row>
    <row r="1197" spans="2:10">
      <c r="B1197" s="78" t="s">
        <v>361</v>
      </c>
      <c r="D1197" s="67">
        <v>26</v>
      </c>
      <c r="E1197" s="67"/>
      <c r="F1197" s="67"/>
      <c r="G1197" s="67"/>
      <c r="H1197" s="67"/>
      <c r="I1197" s="67"/>
      <c r="J1197" s="40"/>
    </row>
    <row r="1198" spans="2:10">
      <c r="B1198" s="78" t="s">
        <v>362</v>
      </c>
      <c r="D1198" s="67">
        <v>26</v>
      </c>
      <c r="E1198" s="67"/>
      <c r="F1198" s="67"/>
      <c r="G1198" s="67"/>
      <c r="H1198" s="67"/>
      <c r="I1198" s="67"/>
      <c r="J1198" s="40"/>
    </row>
    <row r="1199" spans="2:10">
      <c r="B1199" s="78" t="s">
        <v>363</v>
      </c>
      <c r="D1199" s="67">
        <v>26</v>
      </c>
      <c r="E1199" s="67"/>
      <c r="F1199" s="67"/>
      <c r="G1199" s="67"/>
      <c r="H1199" s="67"/>
      <c r="I1199" s="67"/>
      <c r="J1199" s="40"/>
    </row>
    <row r="1200" spans="2:10" ht="12" thickBot="1">
      <c r="B1200" s="77" t="s">
        <v>364</v>
      </c>
      <c r="D1200" s="69">
        <v>26</v>
      </c>
      <c r="E1200" s="69"/>
      <c r="F1200" s="69"/>
      <c r="G1200" s="69"/>
      <c r="H1200" s="69"/>
      <c r="I1200" s="69"/>
      <c r="J1200" s="50"/>
    </row>
    <row r="1202" spans="2:9" ht="29.25" customHeight="1">
      <c r="B1202" s="1461" t="s">
        <v>366</v>
      </c>
      <c r="C1202" s="1461"/>
      <c r="D1202" s="1461"/>
      <c r="E1202" s="1461"/>
      <c r="F1202" s="1461"/>
      <c r="G1202" s="1461"/>
      <c r="H1202" s="693"/>
      <c r="I1202" s="693"/>
    </row>
    <row r="1204" spans="2:9">
      <c r="B1204" s="1450" t="s">
        <v>365</v>
      </c>
      <c r="C1204" s="1451"/>
      <c r="D1204" s="1451"/>
      <c r="E1204" s="1451"/>
      <c r="F1204" s="1451"/>
      <c r="G1204" s="1451"/>
    </row>
    <row r="1205" spans="2:9" ht="12" thickBot="1">
      <c r="G1205" s="1" t="s">
        <v>826</v>
      </c>
    </row>
    <row r="1206" spans="2:9" ht="56.25" customHeight="1" thickBot="1">
      <c r="B1206" s="85" t="s">
        <v>367</v>
      </c>
      <c r="D1206" s="85" t="s">
        <v>368</v>
      </c>
      <c r="E1206" s="85" t="s">
        <v>369</v>
      </c>
      <c r="F1206" s="682" t="s">
        <v>420</v>
      </c>
      <c r="G1206" s="85" t="s">
        <v>370</v>
      </c>
    </row>
    <row r="1207" spans="2:9" ht="12" thickBot="1">
      <c r="B1207" s="77" t="s">
        <v>413</v>
      </c>
      <c r="D1207" s="74"/>
      <c r="E1207" s="74"/>
      <c r="F1207" s="74"/>
      <c r="G1207" s="74"/>
    </row>
    <row r="1208" spans="2:9" ht="12" thickBot="1">
      <c r="B1208" s="77" t="s">
        <v>414</v>
      </c>
      <c r="D1208" s="74"/>
      <c r="E1208" s="74"/>
      <c r="F1208" s="74"/>
      <c r="G1208" s="74"/>
    </row>
    <row r="1209" spans="2:9" ht="12" thickBot="1">
      <c r="B1209" s="77" t="s">
        <v>415</v>
      </c>
      <c r="D1209" s="74"/>
      <c r="E1209" s="74"/>
      <c r="F1209" s="74"/>
      <c r="G1209" s="74"/>
    </row>
    <row r="1210" spans="2:9" ht="12" thickBot="1">
      <c r="B1210" s="77" t="s">
        <v>416</v>
      </c>
      <c r="D1210" s="74"/>
      <c r="E1210" s="74"/>
      <c r="F1210" s="74"/>
      <c r="G1210" s="74"/>
    </row>
    <row r="1211" spans="2:9" ht="12" thickBot="1">
      <c r="B1211" s="77" t="s">
        <v>417</v>
      </c>
      <c r="D1211" s="74"/>
      <c r="E1211" s="74"/>
      <c r="F1211" s="74"/>
      <c r="G1211" s="74"/>
    </row>
    <row r="1212" spans="2:9" ht="12" thickBot="1">
      <c r="B1212" s="77" t="s">
        <v>418</v>
      </c>
      <c r="D1212" s="74"/>
      <c r="E1212" s="74"/>
      <c r="F1212" s="74"/>
      <c r="G1212" s="74"/>
    </row>
    <row r="1213" spans="2:9" ht="12" thickBot="1">
      <c r="B1213" s="77" t="s">
        <v>419</v>
      </c>
      <c r="D1213" s="74"/>
      <c r="E1213" s="74"/>
      <c r="F1213" s="74"/>
      <c r="G1213" s="74"/>
    </row>
    <row r="1215" spans="2:9" ht="37.5" hidden="1" customHeight="1">
      <c r="B1215" s="1461" t="s">
        <v>1</v>
      </c>
      <c r="C1215" s="1461"/>
      <c r="D1215" s="1461"/>
      <c r="E1215" s="1461"/>
      <c r="F1215" s="1461"/>
      <c r="G1215" s="1461"/>
    </row>
    <row r="1216" spans="2:9" hidden="1"/>
    <row r="1217" spans="2:7" ht="35.25" hidden="1" customHeight="1">
      <c r="B1217" s="1461" t="s">
        <v>421</v>
      </c>
      <c r="C1217" s="1449"/>
      <c r="D1217" s="1449"/>
      <c r="E1217" s="1449"/>
      <c r="F1217" s="1449"/>
      <c r="G1217" s="1449"/>
    </row>
    <row r="1218" spans="2:7" hidden="1"/>
    <row r="1219" spans="2:7" ht="35.25" hidden="1" customHeight="1">
      <c r="B1219" s="1455" t="s">
        <v>2</v>
      </c>
      <c r="C1219" s="1462"/>
      <c r="D1219" s="1462"/>
      <c r="E1219" s="1462"/>
      <c r="F1219" s="1462"/>
      <c r="G1219" s="1462"/>
    </row>
    <row r="1220" spans="2:7" hidden="1"/>
    <row r="1221" spans="2:7" hidden="1">
      <c r="B1221" s="1" t="s">
        <v>422</v>
      </c>
    </row>
    <row r="1222" spans="2:7" hidden="1"/>
    <row r="1223" spans="2:7" hidden="1">
      <c r="B1223" s="1436" t="s">
        <v>423</v>
      </c>
      <c r="C1223" s="1436"/>
      <c r="D1223" s="1436"/>
      <c r="E1223" s="1436"/>
      <c r="F1223" s="1436"/>
      <c r="G1223" s="1436"/>
    </row>
    <row r="1224" spans="2:7" ht="12" hidden="1" thickBot="1"/>
    <row r="1225" spans="2:7" ht="33" hidden="1" customHeight="1" thickBot="1">
      <c r="B1225" s="85" t="s">
        <v>424</v>
      </c>
      <c r="D1225" s="141" t="s">
        <v>426</v>
      </c>
      <c r="E1225" s="85" t="s">
        <v>427</v>
      </c>
    </row>
    <row r="1226" spans="2:7" ht="51" hidden="1" customHeight="1" thickBot="1">
      <c r="B1226" s="77" t="s">
        <v>425</v>
      </c>
      <c r="D1226" s="143" t="s">
        <v>429</v>
      </c>
      <c r="E1226" s="143" t="s">
        <v>428</v>
      </c>
    </row>
    <row r="1227" spans="2:7" hidden="1"/>
    <row r="1228" spans="2:7" hidden="1">
      <c r="B1228" s="1436" t="s">
        <v>430</v>
      </c>
      <c r="C1228" s="1436"/>
      <c r="D1228" s="1436"/>
      <c r="E1228" s="1436"/>
      <c r="F1228" s="1436"/>
      <c r="G1228" s="1436"/>
    </row>
    <row r="1229" spans="2:7" hidden="1"/>
    <row r="1230" spans="2:7" ht="34.5" hidden="1" customHeight="1">
      <c r="B1230" s="1461" t="s">
        <v>3</v>
      </c>
      <c r="C1230" s="1449"/>
      <c r="D1230" s="1449"/>
      <c r="E1230" s="1449"/>
      <c r="F1230" s="1449"/>
      <c r="G1230" s="1449"/>
    </row>
    <row r="1231" spans="2:7" hidden="1"/>
    <row r="1232" spans="2:7" ht="38.25" hidden="1" customHeight="1">
      <c r="B1232" s="1449" t="s">
        <v>5</v>
      </c>
      <c r="C1232" s="1437"/>
      <c r="D1232" s="1437"/>
      <c r="E1232" s="1437"/>
      <c r="F1232" s="1437"/>
      <c r="G1232" s="1437"/>
    </row>
    <row r="1233" spans="2:7" hidden="1"/>
    <row r="1234" spans="2:7" ht="37.5" hidden="1" customHeight="1">
      <c r="B1234" s="1461" t="s">
        <v>16</v>
      </c>
      <c r="C1234" s="1449"/>
      <c r="D1234" s="1449"/>
      <c r="E1234" s="1449"/>
      <c r="F1234" s="1449"/>
      <c r="G1234" s="1449"/>
    </row>
    <row r="1235" spans="2:7" hidden="1"/>
    <row r="1236" spans="2:7" ht="24.75" hidden="1" customHeight="1">
      <c r="B1236" s="1461" t="s">
        <v>431</v>
      </c>
      <c r="C1236" s="1449"/>
      <c r="D1236" s="1449"/>
      <c r="E1236" s="1449"/>
      <c r="F1236" s="1449"/>
      <c r="G1236" s="1449"/>
    </row>
    <row r="1237" spans="2:7" hidden="1"/>
    <row r="1238" spans="2:7" hidden="1">
      <c r="B1238" s="1450" t="s">
        <v>432</v>
      </c>
      <c r="C1238" s="1451"/>
      <c r="D1238" s="1451"/>
      <c r="E1238" s="1451"/>
      <c r="F1238" s="1451"/>
      <c r="G1238" s="1451"/>
    </row>
    <row r="1239" spans="2:7" hidden="1"/>
    <row r="1240" spans="2:7" hidden="1"/>
  </sheetData>
  <mergeCells count="237">
    <mergeCell ref="B1228:G1228"/>
    <mergeCell ref="B1230:G1230"/>
    <mergeCell ref="B1232:G1232"/>
    <mergeCell ref="B1234:G1234"/>
    <mergeCell ref="B1236:G1236"/>
    <mergeCell ref="B1238:G1238"/>
    <mergeCell ref="B1202:G1202"/>
    <mergeCell ref="B1204:G1204"/>
    <mergeCell ref="B1215:G1215"/>
    <mergeCell ref="B1217:G1217"/>
    <mergeCell ref="B1219:G1219"/>
    <mergeCell ref="B1223:G1223"/>
    <mergeCell ref="B1136:G1136"/>
    <mergeCell ref="B1137:G1137"/>
    <mergeCell ref="B1139:E1139"/>
    <mergeCell ref="B1158:D1158"/>
    <mergeCell ref="G1167:H1167"/>
    <mergeCell ref="B1191:G1191"/>
    <mergeCell ref="B1085:G1085"/>
    <mergeCell ref="B1087:G1087"/>
    <mergeCell ref="B1089:G1089"/>
    <mergeCell ref="B1100:G1100"/>
    <mergeCell ref="B1120:G1120"/>
    <mergeCell ref="B1134:G1134"/>
    <mergeCell ref="B1074:G1074"/>
    <mergeCell ref="B1076:G1076"/>
    <mergeCell ref="B1078:G1078"/>
    <mergeCell ref="B1080:G1080"/>
    <mergeCell ref="B1083:G1083"/>
    <mergeCell ref="B1084:G1084"/>
    <mergeCell ref="F1059:G1059"/>
    <mergeCell ref="D1060:E1060"/>
    <mergeCell ref="F1060:G1060"/>
    <mergeCell ref="B1068:G1068"/>
    <mergeCell ref="B1070:G1070"/>
    <mergeCell ref="B1072:G1072"/>
    <mergeCell ref="D1035:E1035"/>
    <mergeCell ref="F1035:G1035"/>
    <mergeCell ref="B1045:G1045"/>
    <mergeCell ref="F1046:G1046"/>
    <mergeCell ref="D1047:E1047"/>
    <mergeCell ref="F1047:G1047"/>
    <mergeCell ref="D1004:E1004"/>
    <mergeCell ref="F1004:G1004"/>
    <mergeCell ref="F1014:G1014"/>
    <mergeCell ref="D1015:E1015"/>
    <mergeCell ref="F1015:G1015"/>
    <mergeCell ref="F1034:G1034"/>
    <mergeCell ref="B985:C985"/>
    <mergeCell ref="B988:C988"/>
    <mergeCell ref="B996:G996"/>
    <mergeCell ref="B998:G998"/>
    <mergeCell ref="B1000:G1000"/>
    <mergeCell ref="F1003:G1003"/>
    <mergeCell ref="B975:G975"/>
    <mergeCell ref="B977:G977"/>
    <mergeCell ref="F982:G982"/>
    <mergeCell ref="D983:E983"/>
    <mergeCell ref="F983:G983"/>
    <mergeCell ref="B984:C984"/>
    <mergeCell ref="F946:G946"/>
    <mergeCell ref="D947:E947"/>
    <mergeCell ref="F947:G947"/>
    <mergeCell ref="F957:G957"/>
    <mergeCell ref="D958:E958"/>
    <mergeCell ref="F958:G958"/>
    <mergeCell ref="D933:E933"/>
    <mergeCell ref="F933:G933"/>
    <mergeCell ref="B938:D938"/>
    <mergeCell ref="F939:G939"/>
    <mergeCell ref="D940:E940"/>
    <mergeCell ref="F940:G940"/>
    <mergeCell ref="F894:G894"/>
    <mergeCell ref="D895:E895"/>
    <mergeCell ref="F895:G895"/>
    <mergeCell ref="B925:G925"/>
    <mergeCell ref="B927:G927"/>
    <mergeCell ref="F932:G932"/>
    <mergeCell ref="D879:E879"/>
    <mergeCell ref="F879:G879"/>
    <mergeCell ref="B882:C882"/>
    <mergeCell ref="B887:G887"/>
    <mergeCell ref="B889:G889"/>
    <mergeCell ref="B891:G891"/>
    <mergeCell ref="B867:E867"/>
    <mergeCell ref="F868:G868"/>
    <mergeCell ref="D869:E869"/>
    <mergeCell ref="F869:G869"/>
    <mergeCell ref="B875:G875"/>
    <mergeCell ref="F878:G878"/>
    <mergeCell ref="F843:G843"/>
    <mergeCell ref="D844:E844"/>
    <mergeCell ref="F844:G844"/>
    <mergeCell ref="B846:C846"/>
    <mergeCell ref="F854:G854"/>
    <mergeCell ref="D855:E855"/>
    <mergeCell ref="F855:G855"/>
    <mergeCell ref="F793:G793"/>
    <mergeCell ref="D794:E794"/>
    <mergeCell ref="F794:G794"/>
    <mergeCell ref="F824:G824"/>
    <mergeCell ref="D825:E825"/>
    <mergeCell ref="F825:G825"/>
    <mergeCell ref="D760:E760"/>
    <mergeCell ref="F760:G760"/>
    <mergeCell ref="B778:G778"/>
    <mergeCell ref="F781:G781"/>
    <mergeCell ref="D782:E782"/>
    <mergeCell ref="F782:G782"/>
    <mergeCell ref="F738:G738"/>
    <mergeCell ref="D739:E739"/>
    <mergeCell ref="F739:G739"/>
    <mergeCell ref="B754:G754"/>
    <mergeCell ref="B756:G756"/>
    <mergeCell ref="F759:G759"/>
    <mergeCell ref="B721:G721"/>
    <mergeCell ref="B723:G723"/>
    <mergeCell ref="B725:G725"/>
    <mergeCell ref="B727:G727"/>
    <mergeCell ref="B731:G731"/>
    <mergeCell ref="B733:G733"/>
    <mergeCell ref="B709:G709"/>
    <mergeCell ref="B711:G711"/>
    <mergeCell ref="B713:G713"/>
    <mergeCell ref="B715:G715"/>
    <mergeCell ref="B717:G717"/>
    <mergeCell ref="B719:G719"/>
    <mergeCell ref="B691:G691"/>
    <mergeCell ref="B693:G693"/>
    <mergeCell ref="F695:G695"/>
    <mergeCell ref="D696:E696"/>
    <mergeCell ref="F696:G696"/>
    <mergeCell ref="B705:G705"/>
    <mergeCell ref="D639:E639"/>
    <mergeCell ref="F639:G639"/>
    <mergeCell ref="B651:C651"/>
    <mergeCell ref="B657:G657"/>
    <mergeCell ref="F660:G660"/>
    <mergeCell ref="D661:E661"/>
    <mergeCell ref="F661:G661"/>
    <mergeCell ref="F614:G614"/>
    <mergeCell ref="D615:E615"/>
    <mergeCell ref="F615:G615"/>
    <mergeCell ref="B617:B618"/>
    <mergeCell ref="B635:G635"/>
    <mergeCell ref="F638:G638"/>
    <mergeCell ref="B597:G597"/>
    <mergeCell ref="B599:G599"/>
    <mergeCell ref="B601:G601"/>
    <mergeCell ref="B603:G603"/>
    <mergeCell ref="F605:G605"/>
    <mergeCell ref="D606:E606"/>
    <mergeCell ref="F606:G606"/>
    <mergeCell ref="D558:E558"/>
    <mergeCell ref="F558:G558"/>
    <mergeCell ref="B577:G577"/>
    <mergeCell ref="F581:G581"/>
    <mergeCell ref="D582:E582"/>
    <mergeCell ref="F582:G582"/>
    <mergeCell ref="B530:G530"/>
    <mergeCell ref="F534:G534"/>
    <mergeCell ref="D535:E535"/>
    <mergeCell ref="F535:G535"/>
    <mergeCell ref="B551:G551"/>
    <mergeCell ref="F557:G557"/>
    <mergeCell ref="D429:E429"/>
    <mergeCell ref="F429:G429"/>
    <mergeCell ref="E478:F478"/>
    <mergeCell ref="F491:G491"/>
    <mergeCell ref="D492:E492"/>
    <mergeCell ref="F492:G492"/>
    <mergeCell ref="H360:I360"/>
    <mergeCell ref="D367:E367"/>
    <mergeCell ref="G376:H376"/>
    <mergeCell ref="D397:E397"/>
    <mergeCell ref="H412:I412"/>
    <mergeCell ref="F428:G428"/>
    <mergeCell ref="B342:G342"/>
    <mergeCell ref="B344:G344"/>
    <mergeCell ref="B346:G346"/>
    <mergeCell ref="B348:G348"/>
    <mergeCell ref="B350:G350"/>
    <mergeCell ref="H353:I353"/>
    <mergeCell ref="B185:C185"/>
    <mergeCell ref="D193:E193"/>
    <mergeCell ref="F193:G193"/>
    <mergeCell ref="G221:H221"/>
    <mergeCell ref="H262:I262"/>
    <mergeCell ref="D302:E302"/>
    <mergeCell ref="B178:C178"/>
    <mergeCell ref="B179:C179"/>
    <mergeCell ref="B180:C180"/>
    <mergeCell ref="B181:C181"/>
    <mergeCell ref="B182:C182"/>
    <mergeCell ref="B184:C184"/>
    <mergeCell ref="B171:C171"/>
    <mergeCell ref="B172:C172"/>
    <mergeCell ref="B174:C174"/>
    <mergeCell ref="B175:C175"/>
    <mergeCell ref="B176:C176"/>
    <mergeCell ref="B177:C177"/>
    <mergeCell ref="D152:E152"/>
    <mergeCell ref="F152:G152"/>
    <mergeCell ref="B160:G160"/>
    <mergeCell ref="B162:G162"/>
    <mergeCell ref="D166:E166"/>
    <mergeCell ref="F166:G166"/>
    <mergeCell ref="D117:E117"/>
    <mergeCell ref="F117:G117"/>
    <mergeCell ref="D135:E135"/>
    <mergeCell ref="F135:G135"/>
    <mergeCell ref="B146:G146"/>
    <mergeCell ref="B148:G148"/>
    <mergeCell ref="B96:G96"/>
    <mergeCell ref="B98:G98"/>
    <mergeCell ref="B100:G100"/>
    <mergeCell ref="D104:E104"/>
    <mergeCell ref="F104:G104"/>
    <mergeCell ref="B113:G113"/>
    <mergeCell ref="G52:H52"/>
    <mergeCell ref="D63:E63"/>
    <mergeCell ref="F63:G63"/>
    <mergeCell ref="B24:G24"/>
    <mergeCell ref="B26:G26"/>
    <mergeCell ref="B28:G28"/>
    <mergeCell ref="B30:G30"/>
    <mergeCell ref="B32:G32"/>
    <mergeCell ref="B34:G34"/>
    <mergeCell ref="F5:G5"/>
    <mergeCell ref="D6:E6"/>
    <mergeCell ref="F6:G6"/>
    <mergeCell ref="B18:G18"/>
    <mergeCell ref="B20:G20"/>
    <mergeCell ref="B22:G22"/>
    <mergeCell ref="B36:G36"/>
    <mergeCell ref="B38:G38"/>
    <mergeCell ref="F43:G43"/>
  </mergeCells>
  <printOptions gridLines="1"/>
  <pageMargins left="0.23622047244094491" right="0.23622047244094491" top="0.23622047244094491" bottom="0.23622047244094491" header="0.51181102362204722" footer="0.51181102362204722"/>
  <pageSetup paperSize="9" scale="70" orientation="portrait" r:id="rId1"/>
  <headerFooter alignWithMargins="0"/>
  <rowBreaks count="4" manualBreakCount="4">
    <brk id="469" max="16383" man="1"/>
    <brk id="1080" max="16383" man="1"/>
    <brk id="1145" max="16383" man="1"/>
    <brk id="121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06"/>
  <sheetViews>
    <sheetView topLeftCell="A809" workbookViewId="0">
      <pane xSplit="5" topLeftCell="F1" activePane="topRight" state="frozen"/>
      <selection activeCell="A58" sqref="A58"/>
      <selection pane="topRight" activeCell="E849" sqref="E849"/>
    </sheetView>
  </sheetViews>
  <sheetFormatPr defaultRowHeight="11.25"/>
  <cols>
    <col min="1" max="1" width="4.42578125" style="301" customWidth="1"/>
    <col min="2" max="2" width="37.28515625" style="301" customWidth="1"/>
    <col min="3" max="3" width="10.28515625" style="301" hidden="1" customWidth="1"/>
    <col min="4" max="4" width="15.5703125" style="301" bestFit="1" customWidth="1"/>
    <col min="5" max="5" width="15.7109375" style="301" customWidth="1"/>
    <col min="6" max="6" width="15.42578125" style="301" customWidth="1"/>
    <col min="7" max="7" width="15.28515625" style="301" customWidth="1"/>
    <col min="8" max="8" width="12.42578125" style="301" customWidth="1"/>
    <col min="9" max="9" width="13.140625" style="301" bestFit="1" customWidth="1"/>
    <col min="10" max="10" width="13.7109375" style="301" bestFit="1" customWidth="1"/>
    <col min="11" max="11" width="13.85546875" style="301" customWidth="1"/>
    <col min="12" max="12" width="12.7109375" style="301" customWidth="1"/>
    <col min="13" max="13" width="13.140625" style="301" bestFit="1" customWidth="1"/>
    <col min="14" max="14" width="10.5703125" style="301" customWidth="1"/>
    <col min="15" max="15" width="10.7109375" style="301" bestFit="1" customWidth="1"/>
    <col min="16" max="16" width="12.7109375" style="301" bestFit="1" customWidth="1"/>
    <col min="17" max="17" width="13" style="301" customWidth="1"/>
    <col min="18" max="18" width="12.140625" style="301" customWidth="1"/>
    <col min="19" max="19" width="11.85546875" style="301" bestFit="1" customWidth="1"/>
    <col min="20" max="20" width="12.85546875" style="301" customWidth="1"/>
    <col min="21" max="21" width="15.85546875" style="301" bestFit="1" customWidth="1"/>
    <col min="22" max="22" width="13.5703125" style="317" bestFit="1" customWidth="1"/>
    <col min="23" max="23" width="13.5703125" style="301" bestFit="1" customWidth="1"/>
    <col min="24" max="24" width="12.5703125" style="301" customWidth="1"/>
    <col min="25" max="25" width="15.140625" style="301" customWidth="1"/>
    <col min="26" max="26" width="15.5703125" style="301" customWidth="1"/>
    <col min="27" max="27" width="13.5703125" style="301" customWidth="1"/>
    <col min="28" max="28" width="12.5703125" style="301" customWidth="1"/>
    <col min="29" max="29" width="12.42578125" style="301" customWidth="1"/>
    <col min="30" max="30" width="14.140625" style="301" customWidth="1"/>
    <col min="31" max="31" width="15" style="301" customWidth="1"/>
    <col min="32" max="32" width="13.85546875" style="301" customWidth="1"/>
    <col min="33" max="33" width="18" style="301" customWidth="1"/>
    <col min="34" max="34" width="10.42578125" style="301" bestFit="1" customWidth="1"/>
    <col min="35" max="35" width="14" style="301" bestFit="1" customWidth="1"/>
    <col min="36" max="16384" width="9.140625" style="301"/>
  </cols>
  <sheetData>
    <row r="1" spans="2:7" ht="21" customHeight="1">
      <c r="B1" s="316" t="s">
        <v>433</v>
      </c>
    </row>
    <row r="2" spans="2:7" ht="16.5" customHeight="1"/>
    <row r="3" spans="2:7" ht="16.5" customHeight="1">
      <c r="B3" s="318" t="s">
        <v>820</v>
      </c>
    </row>
    <row r="4" spans="2:7" ht="11.25" customHeight="1">
      <c r="B4" s="1480" t="s">
        <v>946</v>
      </c>
      <c r="C4" s="1480"/>
      <c r="D4" s="1480"/>
      <c r="E4" s="1480"/>
    </row>
    <row r="5" spans="2:7">
      <c r="B5" s="1480"/>
      <c r="C5" s="1480"/>
      <c r="D5" s="1480"/>
      <c r="E5" s="1480"/>
    </row>
    <row r="6" spans="2:7" ht="13.5" thickBot="1">
      <c r="B6" s="319"/>
      <c r="C6" s="319"/>
      <c r="D6" s="1491" t="s">
        <v>142</v>
      </c>
      <c r="E6" s="1491"/>
    </row>
    <row r="7" spans="2:7" ht="12" thickBot="1">
      <c r="B7" s="249"/>
      <c r="C7" s="250"/>
      <c r="D7" s="1492" t="s">
        <v>1204</v>
      </c>
      <c r="E7" s="1493"/>
      <c r="F7" s="1494"/>
      <c r="G7" s="1494"/>
    </row>
    <row r="8" spans="2:7" ht="12" thickBot="1">
      <c r="B8" s="245"/>
      <c r="C8" s="247"/>
      <c r="D8" s="321" t="s">
        <v>813</v>
      </c>
      <c r="E8" s="322" t="s">
        <v>814</v>
      </c>
      <c r="F8" s="663"/>
      <c r="G8" s="663"/>
    </row>
    <row r="9" spans="2:7" ht="12" thickBot="1">
      <c r="B9" s="257" t="s">
        <v>817</v>
      </c>
      <c r="C9" s="244"/>
      <c r="D9" s="240"/>
      <c r="E9" s="243"/>
      <c r="F9" s="244"/>
      <c r="G9" s="244"/>
    </row>
    <row r="10" spans="2:7" ht="12" thickBot="1">
      <c r="B10" s="262" t="s">
        <v>815</v>
      </c>
      <c r="C10" s="244"/>
      <c r="D10" s="323">
        <v>1000000000</v>
      </c>
      <c r="E10" s="323">
        <v>1000000000</v>
      </c>
      <c r="F10" s="239"/>
      <c r="G10" s="649"/>
    </row>
    <row r="11" spans="2:7">
      <c r="B11" s="237"/>
      <c r="C11" s="244"/>
      <c r="D11" s="325"/>
      <c r="E11" s="326"/>
      <c r="F11" s="341"/>
      <c r="G11" s="341"/>
    </row>
    <row r="12" spans="2:7" ht="12" thickBot="1">
      <c r="B12" s="257" t="s">
        <v>818</v>
      </c>
      <c r="C12" s="244"/>
      <c r="D12" s="325"/>
      <c r="E12" s="326"/>
      <c r="F12" s="341"/>
      <c r="G12" s="341"/>
    </row>
    <row r="13" spans="2:7" ht="12" thickBot="1">
      <c r="B13" s="327" t="s">
        <v>146</v>
      </c>
      <c r="C13" s="244"/>
      <c r="D13" s="323">
        <v>1000000000</v>
      </c>
      <c r="E13" s="323">
        <v>1000000000</v>
      </c>
      <c r="F13" s="239"/>
      <c r="G13" s="664"/>
    </row>
    <row r="14" spans="2:7" ht="12" thickBot="1">
      <c r="B14" s="327" t="s">
        <v>816</v>
      </c>
      <c r="C14" s="244"/>
      <c r="D14" s="328"/>
      <c r="E14" s="329"/>
      <c r="F14" s="239"/>
      <c r="G14" s="664"/>
    </row>
    <row r="15" spans="2:7" ht="12" thickBot="1">
      <c r="B15" s="327" t="s">
        <v>821</v>
      </c>
      <c r="C15" s="244"/>
      <c r="D15" s="328"/>
      <c r="E15" s="329"/>
      <c r="F15" s="239"/>
      <c r="G15" s="239"/>
    </row>
    <row r="16" spans="2:7" ht="12" thickBot="1">
      <c r="B16" s="235" t="s">
        <v>147</v>
      </c>
      <c r="C16" s="248"/>
      <c r="D16" s="328">
        <v>1000000000</v>
      </c>
      <c r="E16" s="329">
        <f>+E13+E14-E15</f>
        <v>1000000000</v>
      </c>
      <c r="F16" s="239"/>
      <c r="G16" s="239"/>
    </row>
    <row r="18" spans="2:7" ht="23.25" hidden="1" customHeight="1">
      <c r="B18" s="1495" t="s">
        <v>827</v>
      </c>
      <c r="C18" s="1495"/>
      <c r="D18" s="1495"/>
      <c r="E18" s="1495"/>
      <c r="F18" s="1495"/>
      <c r="G18" s="1495"/>
    </row>
    <row r="19" spans="2:7" hidden="1"/>
    <row r="20" spans="2:7" ht="44.25" hidden="1" customHeight="1">
      <c r="B20" s="1490" t="s">
        <v>8</v>
      </c>
      <c r="C20" s="1490"/>
      <c r="D20" s="1490"/>
      <c r="E20" s="1490"/>
      <c r="F20" s="1490"/>
      <c r="G20" s="1490"/>
    </row>
    <row r="21" spans="2:7" hidden="1"/>
    <row r="22" spans="2:7" ht="21.75" hidden="1" customHeight="1">
      <c r="B22" s="1490" t="s">
        <v>822</v>
      </c>
      <c r="C22" s="1490"/>
      <c r="D22" s="1490"/>
      <c r="E22" s="1490"/>
      <c r="F22" s="1490"/>
      <c r="G22" s="1490"/>
    </row>
    <row r="23" spans="2:7" hidden="1"/>
    <row r="24" spans="2:7" ht="23.25" hidden="1" customHeight="1">
      <c r="B24" s="1475" t="s">
        <v>832</v>
      </c>
      <c r="C24" s="1475"/>
      <c r="D24" s="1475"/>
      <c r="E24" s="1475"/>
      <c r="F24" s="1475"/>
      <c r="G24" s="1475"/>
    </row>
    <row r="25" spans="2:7" hidden="1"/>
    <row r="26" spans="2:7" ht="14.25" hidden="1" customHeight="1">
      <c r="B26" s="1477" t="s">
        <v>833</v>
      </c>
      <c r="C26" s="1477"/>
      <c r="D26" s="1477"/>
      <c r="E26" s="1477"/>
      <c r="F26" s="1477"/>
      <c r="G26" s="1477"/>
    </row>
    <row r="27" spans="2:7" ht="14.25" hidden="1" customHeight="1">
      <c r="B27" s="789"/>
      <c r="C27" s="331"/>
      <c r="D27" s="331"/>
      <c r="E27" s="331"/>
      <c r="F27" s="331"/>
      <c r="G27" s="331"/>
    </row>
    <row r="28" spans="2:7" ht="14.25" hidden="1" customHeight="1">
      <c r="B28" s="1477" t="s">
        <v>834</v>
      </c>
      <c r="C28" s="1477"/>
      <c r="D28" s="1477"/>
      <c r="E28" s="1477"/>
      <c r="F28" s="1477"/>
      <c r="G28" s="1477"/>
    </row>
    <row r="29" spans="2:7" ht="14.25" hidden="1" customHeight="1">
      <c r="B29" s="789"/>
      <c r="C29" s="331"/>
      <c r="D29" s="331"/>
      <c r="E29" s="331"/>
      <c r="F29" s="331"/>
      <c r="G29" s="331"/>
    </row>
    <row r="30" spans="2:7" ht="14.25" hidden="1" customHeight="1">
      <c r="B30" s="1477" t="s">
        <v>835</v>
      </c>
      <c r="C30" s="1477"/>
      <c r="D30" s="1477"/>
      <c r="E30" s="1477"/>
      <c r="F30" s="1477"/>
      <c r="G30" s="1477"/>
    </row>
    <row r="31" spans="2:7" ht="14.25" hidden="1" customHeight="1">
      <c r="B31" s="789"/>
      <c r="C31" s="331"/>
      <c r="D31" s="331"/>
      <c r="E31" s="331"/>
      <c r="F31" s="331"/>
      <c r="G31" s="331"/>
    </row>
    <row r="32" spans="2:7" ht="14.25" hidden="1" customHeight="1">
      <c r="B32" s="1477" t="s">
        <v>836</v>
      </c>
      <c r="C32" s="1477"/>
      <c r="D32" s="1477"/>
      <c r="E32" s="1477"/>
      <c r="F32" s="1477"/>
      <c r="G32" s="1477"/>
    </row>
    <row r="33" spans="2:7" ht="14.25" hidden="1" customHeight="1">
      <c r="B33" s="789"/>
      <c r="C33" s="789"/>
      <c r="D33" s="789"/>
      <c r="E33" s="789"/>
      <c r="F33" s="789"/>
      <c r="G33" s="789"/>
    </row>
    <row r="34" spans="2:7" ht="14.25" hidden="1" customHeight="1">
      <c r="B34" s="1477" t="s">
        <v>837</v>
      </c>
      <c r="C34" s="1477"/>
      <c r="D34" s="1477"/>
      <c r="E34" s="1477"/>
      <c r="F34" s="1477"/>
      <c r="G34" s="1477"/>
    </row>
    <row r="35" spans="2:7" ht="14.25" hidden="1" customHeight="1">
      <c r="B35" s="789"/>
      <c r="C35" s="331"/>
      <c r="D35" s="331"/>
      <c r="E35" s="331"/>
      <c r="F35" s="331"/>
      <c r="G35" s="331"/>
    </row>
    <row r="36" spans="2:7" ht="14.25" hidden="1" customHeight="1">
      <c r="B36" s="1477" t="s">
        <v>838</v>
      </c>
      <c r="C36" s="1477"/>
      <c r="D36" s="1477"/>
      <c r="E36" s="1477"/>
      <c r="F36" s="1477"/>
      <c r="G36" s="1477"/>
    </row>
    <row r="37" spans="2:7" ht="14.25" hidden="1" customHeight="1">
      <c r="B37" s="789"/>
      <c r="C37" s="331"/>
      <c r="D37" s="331"/>
      <c r="E37" s="331"/>
      <c r="F37" s="331"/>
      <c r="G37" s="331"/>
    </row>
    <row r="38" spans="2:7" ht="14.25" hidden="1" customHeight="1">
      <c r="B38" s="1477" t="s">
        <v>839</v>
      </c>
      <c r="C38" s="1477"/>
      <c r="D38" s="1477"/>
      <c r="E38" s="1477"/>
      <c r="F38" s="1477"/>
      <c r="G38" s="1477"/>
    </row>
    <row r="39" spans="2:7" hidden="1"/>
    <row r="40" spans="2:7">
      <c r="B40" s="318" t="s">
        <v>846</v>
      </c>
    </row>
    <row r="41" spans="2:7" ht="12" thickBot="1">
      <c r="B41" s="318"/>
    </row>
    <row r="42" spans="2:7" ht="12" thickBot="1">
      <c r="B42" s="702"/>
      <c r="D42" s="1487" t="s">
        <v>945</v>
      </c>
      <c r="E42" s="1488"/>
      <c r="F42" s="1488" t="s">
        <v>811</v>
      </c>
      <c r="G42" s="1489"/>
    </row>
    <row r="43" spans="2:7">
      <c r="B43" s="766" t="s">
        <v>717</v>
      </c>
      <c r="D43" s="768"/>
      <c r="E43" s="769"/>
      <c r="F43" s="768"/>
      <c r="G43" s="769"/>
    </row>
    <row r="44" spans="2:7">
      <c r="B44" s="337" t="s">
        <v>947</v>
      </c>
      <c r="D44" s="770">
        <v>688326</v>
      </c>
      <c r="E44" s="763"/>
      <c r="F44" s="770">
        <v>688326</v>
      </c>
      <c r="G44" s="763"/>
    </row>
    <row r="45" spans="2:7" ht="12" thickBot="1">
      <c r="B45" s="337" t="s">
        <v>948</v>
      </c>
      <c r="D45" s="771">
        <v>0</v>
      </c>
      <c r="E45" s="763"/>
      <c r="F45" s="771">
        <v>0</v>
      </c>
      <c r="G45" s="763"/>
    </row>
    <row r="46" spans="2:7">
      <c r="B46" s="337" t="s">
        <v>614</v>
      </c>
      <c r="D46" s="770"/>
      <c r="E46" s="763">
        <f>+D44+D45</f>
        <v>688326</v>
      </c>
      <c r="F46" s="770"/>
      <c r="G46" s="763">
        <f>+F44+F45</f>
        <v>688326</v>
      </c>
    </row>
    <row r="47" spans="2:7">
      <c r="B47" s="337"/>
      <c r="D47" s="770"/>
      <c r="E47" s="763"/>
      <c r="F47" s="770"/>
      <c r="G47" s="763"/>
    </row>
    <row r="48" spans="2:7">
      <c r="B48" s="337" t="s">
        <v>949</v>
      </c>
      <c r="D48" s="770">
        <f>G52</f>
        <v>5956127248</v>
      </c>
      <c r="E48" s="763"/>
      <c r="F48" s="770">
        <v>5881127248</v>
      </c>
      <c r="G48" s="763"/>
    </row>
    <row r="49" spans="2:7" ht="12" thickBot="1">
      <c r="B49" s="337" t="s">
        <v>950</v>
      </c>
      <c r="D49" s="771"/>
      <c r="E49" s="763"/>
      <c r="F49" s="771">
        <v>75000000</v>
      </c>
      <c r="G49" s="763"/>
    </row>
    <row r="50" spans="2:7">
      <c r="B50" s="337"/>
      <c r="D50" s="770">
        <f>+D48+D49</f>
        <v>5956127248</v>
      </c>
      <c r="E50" s="763"/>
      <c r="F50" s="770">
        <f>+F48+F49</f>
        <v>5956127248</v>
      </c>
      <c r="G50" s="763"/>
    </row>
    <row r="51" spans="2:7" ht="12" thickBot="1">
      <c r="B51" s="337" t="s">
        <v>951</v>
      </c>
      <c r="D51" s="771"/>
      <c r="E51" s="763"/>
      <c r="F51" s="771">
        <v>0</v>
      </c>
      <c r="G51" s="763"/>
    </row>
    <row r="52" spans="2:7">
      <c r="B52" s="337" t="s">
        <v>614</v>
      </c>
      <c r="D52" s="770"/>
      <c r="E52" s="763">
        <f>+D50-D51</f>
        <v>5956127248</v>
      </c>
      <c r="F52" s="770"/>
      <c r="G52" s="763">
        <f>+F50-F51</f>
        <v>5956127248</v>
      </c>
    </row>
    <row r="53" spans="2:7">
      <c r="B53" s="337"/>
      <c r="D53" s="770"/>
      <c r="E53" s="763"/>
      <c r="F53" s="770"/>
      <c r="G53" s="763"/>
    </row>
    <row r="54" spans="2:7" ht="21">
      <c r="B54" s="337" t="s">
        <v>1199</v>
      </c>
      <c r="D54" s="770"/>
      <c r="E54" s="763"/>
      <c r="F54" s="770"/>
      <c r="G54" s="763"/>
    </row>
    <row r="55" spans="2:7" ht="12" thickBot="1">
      <c r="B55" s="337" t="s">
        <v>950</v>
      </c>
      <c r="D55" s="771">
        <f>D75</f>
        <v>2113291</v>
      </c>
      <c r="E55" s="763"/>
      <c r="F55" s="771"/>
      <c r="G55" s="763"/>
    </row>
    <row r="56" spans="2:7">
      <c r="B56" s="337"/>
      <c r="D56" s="770">
        <f>+D54+D55</f>
        <v>2113291</v>
      </c>
      <c r="E56" s="763"/>
      <c r="F56" s="770">
        <f>+F54+F55</f>
        <v>0</v>
      </c>
      <c r="G56" s="763"/>
    </row>
    <row r="57" spans="2:7" ht="12" thickBot="1">
      <c r="B57" s="337" t="s">
        <v>951</v>
      </c>
      <c r="D57" s="771"/>
      <c r="E57" s="763"/>
      <c r="F57" s="771"/>
      <c r="G57" s="763"/>
    </row>
    <row r="58" spans="2:7">
      <c r="B58" s="337" t="s">
        <v>614</v>
      </c>
      <c r="D58" s="770"/>
      <c r="E58" s="763">
        <f>+D56-D57</f>
        <v>2113291</v>
      </c>
      <c r="F58" s="770"/>
      <c r="G58" s="763">
        <f>+F56-F57</f>
        <v>0</v>
      </c>
    </row>
    <row r="59" spans="2:7">
      <c r="B59" s="337"/>
      <c r="D59" s="770"/>
      <c r="E59" s="763"/>
      <c r="F59" s="770"/>
      <c r="G59" s="763"/>
    </row>
    <row r="60" spans="2:7" ht="21">
      <c r="B60" s="337" t="s">
        <v>1194</v>
      </c>
      <c r="D60" s="770"/>
      <c r="E60" s="763"/>
      <c r="F60" s="770"/>
      <c r="G60" s="763"/>
    </row>
    <row r="61" spans="2:7" ht="12" thickBot="1">
      <c r="B61" s="337" t="s">
        <v>950</v>
      </c>
      <c r="D61" s="771">
        <f>D76</f>
        <v>4359024</v>
      </c>
      <c r="E61" s="763"/>
      <c r="F61" s="771"/>
      <c r="G61" s="763"/>
    </row>
    <row r="62" spans="2:7">
      <c r="B62" s="337"/>
      <c r="D62" s="770">
        <f>+D60+D61</f>
        <v>4359024</v>
      </c>
      <c r="E62" s="763"/>
      <c r="F62" s="770">
        <f>+F60+F61</f>
        <v>0</v>
      </c>
      <c r="G62" s="763"/>
    </row>
    <row r="63" spans="2:7" ht="12" thickBot="1">
      <c r="B63" s="337" t="s">
        <v>951</v>
      </c>
      <c r="D63" s="771"/>
      <c r="E63" s="763"/>
      <c r="F63" s="771"/>
      <c r="G63" s="763"/>
    </row>
    <row r="64" spans="2:7">
      <c r="B64" s="337" t="s">
        <v>614</v>
      </c>
      <c r="D64" s="770"/>
      <c r="E64" s="763">
        <f>+D62-D63</f>
        <v>4359024</v>
      </c>
      <c r="F64" s="770"/>
      <c r="G64" s="763">
        <f>+F62-F63</f>
        <v>0</v>
      </c>
    </row>
    <row r="65" spans="2:7" ht="12" thickBot="1">
      <c r="B65" s="337"/>
      <c r="D65" s="770"/>
      <c r="E65" s="763"/>
      <c r="F65" s="770"/>
      <c r="G65" s="763"/>
    </row>
    <row r="66" spans="2:7" ht="12" thickBot="1">
      <c r="B66" s="323" t="s">
        <v>1195</v>
      </c>
      <c r="D66" s="772"/>
      <c r="E66" s="764">
        <f>SUM(E43:E64)</f>
        <v>5963287889</v>
      </c>
      <c r="F66" s="772"/>
      <c r="G66" s="764">
        <f>SUM(G43:G64)</f>
        <v>5956815574</v>
      </c>
    </row>
    <row r="67" spans="2:7">
      <c r="B67" s="767" t="s">
        <v>720</v>
      </c>
      <c r="D67" s="770"/>
      <c r="E67" s="763"/>
      <c r="F67" s="770"/>
      <c r="G67" s="763"/>
    </row>
    <row r="68" spans="2:7">
      <c r="B68" s="337" t="s">
        <v>952</v>
      </c>
      <c r="D68" s="770">
        <v>7257192057</v>
      </c>
      <c r="E68" s="763"/>
      <c r="F68" s="770">
        <v>6915530242</v>
      </c>
      <c r="G68" s="763"/>
    </row>
    <row r="69" spans="2:7" ht="21.75" thickBot="1">
      <c r="B69" s="337" t="s">
        <v>953</v>
      </c>
      <c r="D69" s="264">
        <f>G990</f>
        <v>-706231839</v>
      </c>
      <c r="E69" s="763"/>
      <c r="F69" s="771">
        <v>707218065</v>
      </c>
      <c r="G69" s="763"/>
    </row>
    <row r="70" spans="2:7">
      <c r="B70" s="337" t="s">
        <v>721</v>
      </c>
      <c r="D70" s="262">
        <f>+D68+D69</f>
        <v>6550960218</v>
      </c>
      <c r="E70" s="763"/>
      <c r="F70" s="770">
        <f>+F68+F69</f>
        <v>7622748307</v>
      </c>
      <c r="G70" s="763"/>
    </row>
    <row r="71" spans="2:7">
      <c r="B71" s="767" t="s">
        <v>1196</v>
      </c>
      <c r="D71" s="770"/>
      <c r="E71" s="763"/>
      <c r="F71" s="770"/>
      <c r="G71" s="763"/>
    </row>
    <row r="72" spans="2:7">
      <c r="B72" s="337" t="s">
        <v>954</v>
      </c>
      <c r="D72" s="770">
        <v>100000000</v>
      </c>
      <c r="E72" s="763"/>
      <c r="F72" s="770">
        <v>250000000</v>
      </c>
      <c r="G72" s="763"/>
    </row>
    <row r="73" spans="2:7">
      <c r="B73" s="337" t="s">
        <v>955</v>
      </c>
      <c r="D73" s="770"/>
      <c r="E73" s="763"/>
      <c r="F73" s="770">
        <v>40556250</v>
      </c>
      <c r="G73" s="763"/>
    </row>
    <row r="74" spans="2:7">
      <c r="B74" s="337" t="s">
        <v>844</v>
      </c>
      <c r="D74" s="770"/>
      <c r="E74" s="763"/>
      <c r="F74" s="770">
        <v>75000000</v>
      </c>
      <c r="G74" s="763"/>
    </row>
    <row r="75" spans="2:7">
      <c r="B75" s="337" t="s">
        <v>1192</v>
      </c>
      <c r="D75" s="770">
        <v>2113291</v>
      </c>
      <c r="E75" s="763"/>
      <c r="F75" s="770"/>
      <c r="G75" s="763"/>
    </row>
    <row r="76" spans="2:7" ht="12" thickBot="1">
      <c r="B76" s="337" t="s">
        <v>1193</v>
      </c>
      <c r="D76" s="770">
        <v>4359024</v>
      </c>
      <c r="E76" s="763"/>
      <c r="F76" s="770"/>
      <c r="G76" s="763"/>
    </row>
    <row r="77" spans="2:7" ht="12" thickBot="1">
      <c r="B77" s="323" t="s">
        <v>1197</v>
      </c>
      <c r="D77" s="772"/>
      <c r="E77" s="271">
        <f>D70-D72-D73-D74-D75-D76</f>
        <v>6444487903</v>
      </c>
      <c r="F77" s="772"/>
      <c r="G77" s="764">
        <f>F70-F72-F73-F74-F75-F76</f>
        <v>7257192057</v>
      </c>
    </row>
    <row r="78" spans="2:7" ht="12" thickBot="1">
      <c r="B78" s="338"/>
      <c r="D78" s="771"/>
      <c r="E78" s="765"/>
      <c r="F78" s="771"/>
      <c r="G78" s="765"/>
    </row>
    <row r="79" spans="2:7" ht="12" thickBot="1">
      <c r="B79" s="564" t="s">
        <v>1198</v>
      </c>
      <c r="D79" s="772"/>
      <c r="E79" s="764">
        <f>+E66+E77</f>
        <v>12407775792</v>
      </c>
      <c r="F79" s="773"/>
      <c r="G79" s="764">
        <f>+G66+G77</f>
        <v>13214007631</v>
      </c>
    </row>
    <row r="80" spans="2:7">
      <c r="B80" s="318"/>
    </row>
    <row r="82" spans="2:35">
      <c r="B82" s="335" t="s">
        <v>858</v>
      </c>
    </row>
    <row r="83" spans="2:35" hidden="1"/>
    <row r="84" spans="2:35" hidden="1">
      <c r="B84" s="318" t="s">
        <v>861</v>
      </c>
    </row>
    <row r="85" spans="2:35" hidden="1">
      <c r="G85" s="335" t="s">
        <v>247</v>
      </c>
    </row>
    <row r="86" spans="2:35" ht="15.75" hidden="1" customHeight="1" thickBot="1">
      <c r="B86" s="339"/>
      <c r="C86" s="274"/>
      <c r="D86" s="1463" t="s">
        <v>860</v>
      </c>
      <c r="E86" s="1464"/>
      <c r="F86" s="1463" t="s">
        <v>17</v>
      </c>
      <c r="G86" s="1464"/>
      <c r="H86" s="1463" t="s">
        <v>18</v>
      </c>
      <c r="I86" s="1464"/>
      <c r="J86" s="1463" t="s">
        <v>19</v>
      </c>
      <c r="K86" s="1464"/>
      <c r="L86" s="1463" t="s">
        <v>20</v>
      </c>
      <c r="M86" s="1464"/>
      <c r="N86" s="1463" t="s">
        <v>21</v>
      </c>
      <c r="O86" s="1464"/>
      <c r="P86" s="1463" t="s">
        <v>22</v>
      </c>
      <c r="Q86" s="1464"/>
      <c r="R86" s="1463" t="s">
        <v>23</v>
      </c>
      <c r="S86" s="1464"/>
      <c r="T86" s="1463" t="s">
        <v>24</v>
      </c>
      <c r="U86" s="1464"/>
      <c r="V86" s="1463" t="s">
        <v>25</v>
      </c>
      <c r="W86" s="1464"/>
      <c r="X86" s="1463" t="s">
        <v>26</v>
      </c>
      <c r="Y86" s="1464"/>
      <c r="Z86" s="1463" t="s">
        <v>27</v>
      </c>
      <c r="AA86" s="1464"/>
      <c r="AB86" s="1463" t="s">
        <v>28</v>
      </c>
      <c r="AC86" s="1464"/>
      <c r="AD86" s="1463" t="s">
        <v>29</v>
      </c>
      <c r="AE86" s="1464"/>
      <c r="AF86" s="1463" t="s">
        <v>30</v>
      </c>
      <c r="AG86" s="1464"/>
      <c r="AH86" s="1463" t="s">
        <v>31</v>
      </c>
      <c r="AI86" s="1464"/>
    </row>
    <row r="87" spans="2:35" hidden="1">
      <c r="B87" s="340" t="s">
        <v>862</v>
      </c>
      <c r="C87" s="250"/>
      <c r="D87" s="237"/>
      <c r="E87" s="243"/>
      <c r="F87" s="244"/>
      <c r="G87" s="243"/>
      <c r="H87" s="244"/>
      <c r="I87" s="243"/>
      <c r="J87" s="244"/>
      <c r="K87" s="243"/>
      <c r="L87" s="244"/>
      <c r="M87" s="243"/>
      <c r="N87" s="244"/>
      <c r="O87" s="243"/>
      <c r="P87" s="244"/>
      <c r="Q87" s="243"/>
      <c r="R87" s="244"/>
      <c r="S87" s="243"/>
      <c r="T87" s="244"/>
      <c r="U87" s="243"/>
      <c r="V87" s="341"/>
      <c r="W87" s="243"/>
      <c r="X87" s="244"/>
      <c r="Y87" s="243"/>
      <c r="Z87" s="244"/>
      <c r="AA87" s="243"/>
      <c r="AB87" s="244"/>
      <c r="AC87" s="243"/>
      <c r="AD87" s="244"/>
      <c r="AE87" s="243"/>
      <c r="AF87" s="244"/>
      <c r="AG87" s="243"/>
      <c r="AH87" s="244"/>
      <c r="AI87" s="243"/>
    </row>
    <row r="88" spans="2:35" hidden="1">
      <c r="B88" s="792" t="s">
        <v>863</v>
      </c>
      <c r="C88" s="243"/>
      <c r="D88" s="237"/>
      <c r="E88" s="243"/>
      <c r="F88" s="244"/>
      <c r="G88" s="243"/>
      <c r="H88" s="244"/>
      <c r="I88" s="243"/>
      <c r="J88" s="244"/>
      <c r="K88" s="243"/>
      <c r="L88" s="244"/>
      <c r="M88" s="243"/>
      <c r="N88" s="244"/>
      <c r="O88" s="243"/>
      <c r="P88" s="244"/>
      <c r="Q88" s="243"/>
      <c r="R88" s="244"/>
      <c r="S88" s="243"/>
      <c r="T88" s="244"/>
      <c r="U88" s="243"/>
      <c r="V88" s="341"/>
      <c r="W88" s="243"/>
      <c r="X88" s="244"/>
      <c r="Y88" s="243"/>
      <c r="Z88" s="244"/>
      <c r="AA88" s="243"/>
      <c r="AB88" s="244"/>
      <c r="AC88" s="243"/>
      <c r="AD88" s="244"/>
      <c r="AE88" s="243"/>
      <c r="AF88" s="244"/>
      <c r="AG88" s="243"/>
      <c r="AH88" s="244"/>
      <c r="AI88" s="243"/>
    </row>
    <row r="89" spans="2:35" hidden="1">
      <c r="B89" s="343" t="s">
        <v>864</v>
      </c>
      <c r="C89" s="243"/>
      <c r="D89" s="237">
        <f>F89+H89+J89+L89+N89+P89+R89+T89+V89+X89+Z89+AB89+AD89+AF89+AH89</f>
        <v>0</v>
      </c>
      <c r="E89" s="243"/>
      <c r="F89" s="244"/>
      <c r="G89" s="243"/>
      <c r="H89" s="244"/>
      <c r="I89" s="243"/>
      <c r="J89" s="244"/>
      <c r="K89" s="243"/>
      <c r="L89" s="244"/>
      <c r="M89" s="243"/>
      <c r="N89" s="244"/>
      <c r="O89" s="243"/>
      <c r="P89" s="244"/>
      <c r="Q89" s="243"/>
      <c r="R89" s="244"/>
      <c r="S89" s="243"/>
      <c r="T89" s="244"/>
      <c r="U89" s="243"/>
      <c r="V89" s="341"/>
      <c r="W89" s="243"/>
      <c r="X89" s="244"/>
      <c r="Y89" s="243"/>
      <c r="Z89" s="244"/>
      <c r="AA89" s="243"/>
      <c r="AB89" s="244"/>
      <c r="AC89" s="243"/>
      <c r="AD89" s="244"/>
      <c r="AE89" s="243"/>
      <c r="AF89" s="244"/>
      <c r="AG89" s="243"/>
      <c r="AH89" s="244"/>
      <c r="AI89" s="243"/>
    </row>
    <row r="90" spans="2:35" ht="12" hidden="1" thickBot="1">
      <c r="B90" s="343" t="s">
        <v>865</v>
      </c>
      <c r="C90" s="243"/>
      <c r="D90" s="245">
        <f>F90+H90+J90+L90+N90+P90+R90+T90+V90+X90+Z90+AB90+AD90+AF90+AH90</f>
        <v>0</v>
      </c>
      <c r="E90" s="243">
        <f>+SUM(D89:D90)</f>
        <v>0</v>
      </c>
      <c r="F90" s="245"/>
      <c r="G90" s="243">
        <f>+SUM(F89:F90)</f>
        <v>0</v>
      </c>
      <c r="H90" s="245"/>
      <c r="I90" s="243">
        <f>+SUM(H89:H90)</f>
        <v>0</v>
      </c>
      <c r="J90" s="245"/>
      <c r="K90" s="243">
        <f>+SUM(J89:J90)</f>
        <v>0</v>
      </c>
      <c r="L90" s="245"/>
      <c r="M90" s="243">
        <f>+SUM(L89:L90)</f>
        <v>0</v>
      </c>
      <c r="N90" s="245"/>
      <c r="O90" s="243">
        <f>+SUM(N89:N90)</f>
        <v>0</v>
      </c>
      <c r="P90" s="245"/>
      <c r="Q90" s="243">
        <f>+SUM(P89:P90)</f>
        <v>0</v>
      </c>
      <c r="R90" s="245"/>
      <c r="S90" s="243">
        <f>+SUM(R89:R90)</f>
        <v>0</v>
      </c>
      <c r="T90" s="245"/>
      <c r="U90" s="243">
        <f>+SUM(T89:T90)</f>
        <v>0</v>
      </c>
      <c r="V90" s="344"/>
      <c r="W90" s="243">
        <f>+SUM(V89:V90)</f>
        <v>0</v>
      </c>
      <c r="X90" s="245"/>
      <c r="Y90" s="243">
        <f>+SUM(X89:X90)</f>
        <v>0</v>
      </c>
      <c r="Z90" s="245"/>
      <c r="AA90" s="243">
        <f>+SUM(Z89:Z90)</f>
        <v>0</v>
      </c>
      <c r="AB90" s="245"/>
      <c r="AC90" s="243">
        <f>+SUM(AB89:AB90)</f>
        <v>0</v>
      </c>
      <c r="AD90" s="245"/>
      <c r="AE90" s="243">
        <f>+SUM(AD89:AD90)</f>
        <v>0</v>
      </c>
      <c r="AF90" s="245"/>
      <c r="AG90" s="243">
        <f>+SUM(AF89:AF90)</f>
        <v>0</v>
      </c>
      <c r="AH90" s="245"/>
      <c r="AI90" s="243">
        <f>+SUM(AH89:AH90)</f>
        <v>0</v>
      </c>
    </row>
    <row r="91" spans="2:35" hidden="1">
      <c r="B91" s="345"/>
      <c r="C91" s="243"/>
      <c r="D91" s="237"/>
      <c r="E91" s="243"/>
      <c r="F91" s="244"/>
      <c r="G91" s="243"/>
      <c r="H91" s="244"/>
      <c r="I91" s="243"/>
      <c r="J91" s="244"/>
      <c r="K91" s="243"/>
      <c r="L91" s="244"/>
      <c r="M91" s="243"/>
      <c r="N91" s="244"/>
      <c r="O91" s="243"/>
      <c r="P91" s="244"/>
      <c r="Q91" s="243"/>
      <c r="R91" s="244"/>
      <c r="S91" s="243"/>
      <c r="T91" s="244"/>
      <c r="U91" s="243"/>
      <c r="V91" s="341"/>
      <c r="W91" s="243"/>
      <c r="X91" s="244"/>
      <c r="Y91" s="243"/>
      <c r="Z91" s="244"/>
      <c r="AA91" s="243"/>
      <c r="AB91" s="244"/>
      <c r="AC91" s="243"/>
      <c r="AD91" s="244"/>
      <c r="AE91" s="243"/>
      <c r="AF91" s="244"/>
      <c r="AG91" s="243"/>
      <c r="AH91" s="244"/>
      <c r="AI91" s="243"/>
    </row>
    <row r="92" spans="2:35" hidden="1">
      <c r="B92" s="792" t="s">
        <v>866</v>
      </c>
      <c r="C92" s="243"/>
      <c r="D92" s="237"/>
      <c r="E92" s="243"/>
      <c r="F92" s="244"/>
      <c r="G92" s="243"/>
      <c r="H92" s="244"/>
      <c r="I92" s="243"/>
      <c r="J92" s="244"/>
      <c r="K92" s="243"/>
      <c r="L92" s="244"/>
      <c r="M92" s="243"/>
      <c r="N92" s="244"/>
      <c r="O92" s="243"/>
      <c r="P92" s="244"/>
      <c r="Q92" s="243"/>
      <c r="R92" s="244"/>
      <c r="S92" s="243"/>
      <c r="T92" s="244"/>
      <c r="U92" s="243"/>
      <c r="V92" s="341"/>
      <c r="W92" s="243"/>
      <c r="X92" s="244"/>
      <c r="Y92" s="243"/>
      <c r="Z92" s="244"/>
      <c r="AA92" s="243"/>
      <c r="AB92" s="244"/>
      <c r="AC92" s="243"/>
      <c r="AD92" s="244"/>
      <c r="AE92" s="243"/>
      <c r="AF92" s="244"/>
      <c r="AG92" s="243"/>
      <c r="AH92" s="244"/>
      <c r="AI92" s="243"/>
    </row>
    <row r="93" spans="2:35" hidden="1">
      <c r="B93" s="343" t="s">
        <v>864</v>
      </c>
      <c r="C93" s="243"/>
      <c r="D93" s="237">
        <f>F93+H93+J93+L93+N93+P93+R93+T93+V93+X93+Z93+AB93+AD93+AF93+AH93</f>
        <v>0</v>
      </c>
      <c r="E93" s="243"/>
      <c r="F93" s="244"/>
      <c r="G93" s="243"/>
      <c r="H93" s="244"/>
      <c r="I93" s="243"/>
      <c r="J93" s="244"/>
      <c r="K93" s="243"/>
      <c r="L93" s="244"/>
      <c r="M93" s="243"/>
      <c r="N93" s="244"/>
      <c r="O93" s="243"/>
      <c r="P93" s="244"/>
      <c r="Q93" s="243"/>
      <c r="R93" s="244"/>
      <c r="S93" s="243"/>
      <c r="T93" s="244"/>
      <c r="U93" s="243"/>
      <c r="V93" s="341"/>
      <c r="W93" s="243"/>
      <c r="X93" s="244"/>
      <c r="Y93" s="243"/>
      <c r="Z93" s="244"/>
      <c r="AA93" s="243"/>
      <c r="AB93" s="244"/>
      <c r="AC93" s="243"/>
      <c r="AD93" s="244"/>
      <c r="AE93" s="243"/>
      <c r="AF93" s="244"/>
      <c r="AG93" s="243"/>
      <c r="AH93" s="244"/>
      <c r="AI93" s="243"/>
    </row>
    <row r="94" spans="2:35" ht="12" hidden="1" thickBot="1">
      <c r="B94" s="343" t="s">
        <v>865</v>
      </c>
      <c r="C94" s="243"/>
      <c r="D94" s="245">
        <f>F94+H94+J94+L94+N94+P94+R94+T94+V94+X94+Z94+AB94+AD94+AF94+AH94</f>
        <v>0</v>
      </c>
      <c r="E94" s="243">
        <f>+SUM(D93:D94)</f>
        <v>0</v>
      </c>
      <c r="F94" s="245"/>
      <c r="G94" s="243">
        <f>+SUM(F93:F94)</f>
        <v>0</v>
      </c>
      <c r="H94" s="245"/>
      <c r="I94" s="243">
        <f>+SUM(H93:H94)</f>
        <v>0</v>
      </c>
      <c r="J94" s="245"/>
      <c r="K94" s="243">
        <f>+SUM(J93:J94)</f>
        <v>0</v>
      </c>
      <c r="L94" s="245"/>
      <c r="M94" s="243">
        <f>+SUM(L93:L94)</f>
        <v>0</v>
      </c>
      <c r="N94" s="245"/>
      <c r="O94" s="243">
        <f>+SUM(N93:N94)</f>
        <v>0</v>
      </c>
      <c r="P94" s="245"/>
      <c r="Q94" s="243">
        <f>+SUM(P93:P94)</f>
        <v>0</v>
      </c>
      <c r="R94" s="245"/>
      <c r="S94" s="243">
        <f>+SUM(R93:R94)</f>
        <v>0</v>
      </c>
      <c r="T94" s="245"/>
      <c r="U94" s="243">
        <f>+SUM(T93:T94)</f>
        <v>0</v>
      </c>
      <c r="V94" s="344"/>
      <c r="W94" s="243">
        <f>+SUM(V93:V94)</f>
        <v>0</v>
      </c>
      <c r="X94" s="245"/>
      <c r="Y94" s="243">
        <f>+SUM(X93:X94)</f>
        <v>0</v>
      </c>
      <c r="Z94" s="245"/>
      <c r="AA94" s="243">
        <f>+SUM(Z93:Z94)</f>
        <v>0</v>
      </c>
      <c r="AB94" s="245"/>
      <c r="AC94" s="243">
        <f>+SUM(AB93:AB94)</f>
        <v>0</v>
      </c>
      <c r="AD94" s="245"/>
      <c r="AE94" s="243">
        <f>+SUM(AD93:AD94)</f>
        <v>0</v>
      </c>
      <c r="AF94" s="245"/>
      <c r="AG94" s="243">
        <f>+SUM(AF93:AF94)</f>
        <v>0</v>
      </c>
      <c r="AH94" s="245"/>
      <c r="AI94" s="243">
        <f>+SUM(AH93:AH94)</f>
        <v>0</v>
      </c>
    </row>
    <row r="95" spans="2:35" hidden="1">
      <c r="B95" s="345"/>
      <c r="C95" s="243"/>
      <c r="D95" s="237"/>
      <c r="E95" s="243"/>
      <c r="F95" s="244"/>
      <c r="G95" s="243"/>
      <c r="H95" s="244"/>
      <c r="I95" s="243"/>
      <c r="J95" s="244"/>
      <c r="K95" s="243"/>
      <c r="L95" s="244"/>
      <c r="M95" s="243"/>
      <c r="N95" s="244"/>
      <c r="O95" s="243"/>
      <c r="P95" s="244"/>
      <c r="Q95" s="243"/>
      <c r="R95" s="244"/>
      <c r="S95" s="243"/>
      <c r="T95" s="244"/>
      <c r="U95" s="243"/>
      <c r="V95" s="341"/>
      <c r="W95" s="243"/>
      <c r="X95" s="244"/>
      <c r="Y95" s="243"/>
      <c r="Z95" s="244"/>
      <c r="AA95" s="243"/>
      <c r="AB95" s="244"/>
      <c r="AC95" s="243"/>
      <c r="AD95" s="244"/>
      <c r="AE95" s="243"/>
      <c r="AF95" s="244"/>
      <c r="AG95" s="243"/>
      <c r="AH95" s="244"/>
      <c r="AI95" s="243"/>
    </row>
    <row r="96" spans="2:35" hidden="1">
      <c r="B96" s="346" t="s">
        <v>867</v>
      </c>
      <c r="C96" s="243"/>
      <c r="D96" s="237"/>
      <c r="E96" s="243"/>
      <c r="F96" s="244"/>
      <c r="G96" s="243"/>
      <c r="H96" s="244"/>
      <c r="I96" s="243"/>
      <c r="J96" s="244"/>
      <c r="K96" s="243"/>
      <c r="L96" s="244"/>
      <c r="M96" s="243"/>
      <c r="N96" s="244"/>
      <c r="O96" s="243"/>
      <c r="P96" s="244"/>
      <c r="Q96" s="243"/>
      <c r="R96" s="244"/>
      <c r="S96" s="243"/>
      <c r="T96" s="244"/>
      <c r="U96" s="243"/>
      <c r="V96" s="341"/>
      <c r="W96" s="243"/>
      <c r="X96" s="244"/>
      <c r="Y96" s="243"/>
      <c r="Z96" s="244"/>
      <c r="AA96" s="243"/>
      <c r="AB96" s="244"/>
      <c r="AC96" s="243"/>
      <c r="AD96" s="244"/>
      <c r="AE96" s="243"/>
      <c r="AF96" s="244"/>
      <c r="AG96" s="243"/>
      <c r="AH96" s="244"/>
      <c r="AI96" s="243"/>
    </row>
    <row r="97" spans="2:35" hidden="1">
      <c r="B97" s="343" t="s">
        <v>864</v>
      </c>
      <c r="C97" s="243"/>
      <c r="D97" s="237">
        <f>F97+H97+J97+L97+N97+P97+R97+T97+V97+X97+Z97+AB97+AD97+AF97+AH97</f>
        <v>0</v>
      </c>
      <c r="E97" s="243"/>
      <c r="F97" s="244"/>
      <c r="G97" s="243"/>
      <c r="H97" s="244"/>
      <c r="I97" s="243"/>
      <c r="J97" s="244"/>
      <c r="K97" s="243"/>
      <c r="L97" s="244"/>
      <c r="M97" s="243"/>
      <c r="N97" s="244"/>
      <c r="O97" s="243"/>
      <c r="P97" s="244"/>
      <c r="Q97" s="243"/>
      <c r="R97" s="244"/>
      <c r="S97" s="243"/>
      <c r="T97" s="244"/>
      <c r="U97" s="243"/>
      <c r="V97" s="341"/>
      <c r="W97" s="243"/>
      <c r="X97" s="244"/>
      <c r="Y97" s="243"/>
      <c r="Z97" s="244"/>
      <c r="AA97" s="243"/>
      <c r="AB97" s="244"/>
      <c r="AC97" s="243"/>
      <c r="AD97" s="244"/>
      <c r="AE97" s="243"/>
      <c r="AF97" s="244"/>
      <c r="AG97" s="243"/>
      <c r="AH97" s="244"/>
      <c r="AI97" s="243"/>
    </row>
    <row r="98" spans="2:35" ht="12" hidden="1" thickBot="1">
      <c r="B98" s="343" t="s">
        <v>865</v>
      </c>
      <c r="C98" s="243"/>
      <c r="D98" s="245">
        <f>F98+H98+J98+L98+N98+P98+R98+T98+V98+X98+Z98+AB98+AD98+AF98+AH98</f>
        <v>0</v>
      </c>
      <c r="E98" s="243">
        <f>+SUM(D97:D98)</f>
        <v>0</v>
      </c>
      <c r="F98" s="245"/>
      <c r="G98" s="243">
        <f>+SUM(F97:F98)</f>
        <v>0</v>
      </c>
      <c r="H98" s="245"/>
      <c r="I98" s="243">
        <f>+SUM(H97:H98)</f>
        <v>0</v>
      </c>
      <c r="J98" s="245"/>
      <c r="K98" s="243">
        <f>+SUM(J97:J98)</f>
        <v>0</v>
      </c>
      <c r="L98" s="245"/>
      <c r="M98" s="243">
        <f>+SUM(L97:L98)</f>
        <v>0</v>
      </c>
      <c r="N98" s="245"/>
      <c r="O98" s="243">
        <f>+SUM(N97:N98)</f>
        <v>0</v>
      </c>
      <c r="P98" s="245"/>
      <c r="Q98" s="243">
        <f>+SUM(P97:P98)</f>
        <v>0</v>
      </c>
      <c r="R98" s="245"/>
      <c r="S98" s="243">
        <f>+SUM(R97:R98)</f>
        <v>0</v>
      </c>
      <c r="T98" s="245"/>
      <c r="U98" s="243">
        <f>+SUM(T97:T98)</f>
        <v>0</v>
      </c>
      <c r="V98" s="344"/>
      <c r="W98" s="243">
        <f>+SUM(V97:V98)</f>
        <v>0</v>
      </c>
      <c r="X98" s="245"/>
      <c r="Y98" s="243">
        <f>+SUM(X97:X98)</f>
        <v>0</v>
      </c>
      <c r="Z98" s="245"/>
      <c r="AA98" s="243">
        <f>+SUM(Z97:Z98)</f>
        <v>0</v>
      </c>
      <c r="AB98" s="245"/>
      <c r="AC98" s="243">
        <f>+SUM(AB97:AB98)</f>
        <v>0</v>
      </c>
      <c r="AD98" s="245"/>
      <c r="AE98" s="243">
        <f>+SUM(AD97:AD98)</f>
        <v>0</v>
      </c>
      <c r="AF98" s="245"/>
      <c r="AG98" s="243">
        <f>+SUM(AF97:AF98)</f>
        <v>0</v>
      </c>
      <c r="AH98" s="245"/>
      <c r="AI98" s="243">
        <f>+SUM(AH97:AH98)</f>
        <v>0</v>
      </c>
    </row>
    <row r="99" spans="2:35" hidden="1">
      <c r="B99" s="343"/>
      <c r="C99" s="243"/>
      <c r="D99" s="237"/>
      <c r="E99" s="243"/>
      <c r="F99" s="244"/>
      <c r="G99" s="243"/>
      <c r="H99" s="244"/>
      <c r="I99" s="243"/>
      <c r="J99" s="244"/>
      <c r="K99" s="243"/>
      <c r="L99" s="244"/>
      <c r="M99" s="243"/>
      <c r="N99" s="244"/>
      <c r="O99" s="243"/>
      <c r="P99" s="244"/>
      <c r="Q99" s="243"/>
      <c r="R99" s="244"/>
      <c r="S99" s="243"/>
      <c r="T99" s="244"/>
      <c r="U99" s="243"/>
      <c r="V99" s="341"/>
      <c r="W99" s="243"/>
      <c r="X99" s="244"/>
      <c r="Y99" s="243"/>
      <c r="Z99" s="244"/>
      <c r="AA99" s="243"/>
      <c r="AB99" s="244"/>
      <c r="AC99" s="243"/>
      <c r="AD99" s="244"/>
      <c r="AE99" s="243"/>
      <c r="AF99" s="244"/>
      <c r="AG99" s="243"/>
      <c r="AH99" s="244"/>
      <c r="AI99" s="243"/>
    </row>
    <row r="100" spans="2:35" hidden="1">
      <c r="B100" s="346" t="s">
        <v>868</v>
      </c>
      <c r="C100" s="243"/>
      <c r="D100" s="237"/>
      <c r="E100" s="243"/>
      <c r="F100" s="244"/>
      <c r="G100" s="243"/>
      <c r="H100" s="244"/>
      <c r="I100" s="243"/>
      <c r="J100" s="244"/>
      <c r="K100" s="243"/>
      <c r="L100" s="244"/>
      <c r="M100" s="243"/>
      <c r="N100" s="244"/>
      <c r="O100" s="243"/>
      <c r="P100" s="244"/>
      <c r="Q100" s="243"/>
      <c r="R100" s="244"/>
      <c r="S100" s="243"/>
      <c r="T100" s="244"/>
      <c r="U100" s="243"/>
      <c r="V100" s="341"/>
      <c r="W100" s="243"/>
      <c r="X100" s="244"/>
      <c r="Y100" s="243"/>
      <c r="Z100" s="244"/>
      <c r="AA100" s="243"/>
      <c r="AB100" s="244"/>
      <c r="AC100" s="243"/>
      <c r="AD100" s="244"/>
      <c r="AE100" s="243"/>
      <c r="AF100" s="244"/>
      <c r="AG100" s="243"/>
      <c r="AH100" s="244"/>
      <c r="AI100" s="243"/>
    </row>
    <row r="101" spans="2:35" hidden="1">
      <c r="B101" s="343" t="s">
        <v>864</v>
      </c>
      <c r="C101" s="243"/>
      <c r="D101" s="237">
        <f>F101+H101+J101+L101+N101+P101+R101+T101+V101+X101+Z101+AB101+AD101+AF101+AH101</f>
        <v>0</v>
      </c>
      <c r="E101" s="243"/>
      <c r="F101" s="244"/>
      <c r="G101" s="243"/>
      <c r="H101" s="244"/>
      <c r="I101" s="243"/>
      <c r="J101" s="244"/>
      <c r="K101" s="243"/>
      <c r="L101" s="244"/>
      <c r="M101" s="243"/>
      <c r="N101" s="244"/>
      <c r="O101" s="243"/>
      <c r="P101" s="244"/>
      <c r="Q101" s="243"/>
      <c r="R101" s="244"/>
      <c r="S101" s="243"/>
      <c r="T101" s="244"/>
      <c r="U101" s="243"/>
      <c r="V101" s="341"/>
      <c r="W101" s="243"/>
      <c r="X101" s="244"/>
      <c r="Y101" s="243"/>
      <c r="Z101" s="244"/>
      <c r="AA101" s="243"/>
      <c r="AB101" s="244"/>
      <c r="AC101" s="243"/>
      <c r="AD101" s="244"/>
      <c r="AE101" s="243"/>
      <c r="AF101" s="244"/>
      <c r="AG101" s="243"/>
      <c r="AH101" s="244"/>
      <c r="AI101" s="243"/>
    </row>
    <row r="102" spans="2:35" ht="12" hidden="1" thickBot="1">
      <c r="B102" s="343" t="s">
        <v>865</v>
      </c>
      <c r="C102" s="243"/>
      <c r="D102" s="245">
        <f>F102+H102+J102+L102+N102+P102+R102+T102+V102+X102+Z102+AB102+AD102+AF102+AH102</f>
        <v>0</v>
      </c>
      <c r="E102" s="243">
        <f>+SUM(D101:D102)</f>
        <v>0</v>
      </c>
      <c r="F102" s="245"/>
      <c r="G102" s="243">
        <f>+SUM(F101:F102)</f>
        <v>0</v>
      </c>
      <c r="H102" s="245"/>
      <c r="I102" s="243">
        <f>+SUM(H101:H102)</f>
        <v>0</v>
      </c>
      <c r="J102" s="245"/>
      <c r="K102" s="243">
        <f>+SUM(J101:J102)</f>
        <v>0</v>
      </c>
      <c r="L102" s="245"/>
      <c r="M102" s="243">
        <f>+SUM(L101:L102)</f>
        <v>0</v>
      </c>
      <c r="N102" s="245"/>
      <c r="O102" s="243">
        <f>+SUM(N101:N102)</f>
        <v>0</v>
      </c>
      <c r="P102" s="245"/>
      <c r="Q102" s="243">
        <f>+SUM(P101:P102)</f>
        <v>0</v>
      </c>
      <c r="R102" s="245"/>
      <c r="S102" s="243">
        <f>+SUM(R101:R102)</f>
        <v>0</v>
      </c>
      <c r="T102" s="245"/>
      <c r="U102" s="243">
        <f>+SUM(T101:T102)</f>
        <v>0</v>
      </c>
      <c r="V102" s="344"/>
      <c r="W102" s="243">
        <f>+SUM(V101:V102)</f>
        <v>0</v>
      </c>
      <c r="X102" s="245"/>
      <c r="Y102" s="243">
        <f>+SUM(X101:X102)</f>
        <v>0</v>
      </c>
      <c r="Z102" s="245"/>
      <c r="AA102" s="243">
        <f>+SUM(Z101:Z102)</f>
        <v>0</v>
      </c>
      <c r="AB102" s="245"/>
      <c r="AC102" s="243">
        <f>+SUM(AB101:AB102)</f>
        <v>0</v>
      </c>
      <c r="AD102" s="245"/>
      <c r="AE102" s="243">
        <f>+SUM(AD101:AD102)</f>
        <v>0</v>
      </c>
      <c r="AF102" s="245"/>
      <c r="AG102" s="243">
        <f>+SUM(AF101:AF102)</f>
        <v>0</v>
      </c>
      <c r="AH102" s="245">
        <v>0</v>
      </c>
      <c r="AI102" s="243">
        <f>+SUM(AH101:AH102)</f>
        <v>0</v>
      </c>
    </row>
    <row r="103" spans="2:35" hidden="1">
      <c r="B103" s="345"/>
      <c r="C103" s="243"/>
      <c r="D103" s="237"/>
      <c r="E103" s="243"/>
      <c r="F103" s="244"/>
      <c r="G103" s="243"/>
      <c r="H103" s="244"/>
      <c r="I103" s="243"/>
      <c r="J103" s="244"/>
      <c r="K103" s="243"/>
      <c r="L103" s="244"/>
      <c r="M103" s="243"/>
      <c r="N103" s="244"/>
      <c r="O103" s="243"/>
      <c r="P103" s="244"/>
      <c r="Q103" s="243"/>
      <c r="R103" s="244"/>
      <c r="S103" s="243"/>
      <c r="T103" s="244"/>
      <c r="U103" s="243"/>
      <c r="V103" s="341"/>
      <c r="W103" s="243"/>
      <c r="X103" s="244"/>
      <c r="Y103" s="243"/>
      <c r="Z103" s="244"/>
      <c r="AA103" s="243"/>
      <c r="AB103" s="244"/>
      <c r="AC103" s="243"/>
      <c r="AD103" s="244"/>
      <c r="AE103" s="243"/>
      <c r="AF103" s="244"/>
      <c r="AG103" s="243"/>
      <c r="AH103" s="244"/>
      <c r="AI103" s="243"/>
    </row>
    <row r="104" spans="2:35" ht="25.5" hidden="1" customHeight="1">
      <c r="B104" s="346" t="s">
        <v>869</v>
      </c>
      <c r="C104" s="243"/>
      <c r="D104" s="237"/>
      <c r="E104" s="243"/>
      <c r="F104" s="244"/>
      <c r="G104" s="243"/>
      <c r="H104" s="244"/>
      <c r="I104" s="243"/>
      <c r="J104" s="244"/>
      <c r="K104" s="243"/>
      <c r="L104" s="244"/>
      <c r="M104" s="243"/>
      <c r="N104" s="244"/>
      <c r="O104" s="243"/>
      <c r="P104" s="244"/>
      <c r="Q104" s="243"/>
      <c r="R104" s="244"/>
      <c r="S104" s="243"/>
      <c r="T104" s="244"/>
      <c r="U104" s="243"/>
      <c r="V104" s="341"/>
      <c r="W104" s="243"/>
      <c r="X104" s="244"/>
      <c r="Y104" s="243"/>
      <c r="Z104" s="244"/>
      <c r="AA104" s="243"/>
      <c r="AB104" s="244"/>
      <c r="AC104" s="243"/>
      <c r="AD104" s="244"/>
      <c r="AE104" s="243"/>
      <c r="AF104" s="244"/>
      <c r="AG104" s="243"/>
      <c r="AH104" s="244"/>
      <c r="AI104" s="243"/>
    </row>
    <row r="105" spans="2:35" hidden="1">
      <c r="B105" s="343" t="s">
        <v>864</v>
      </c>
      <c r="C105" s="243"/>
      <c r="D105" s="237">
        <f>F105+H105+J105+L105+N105+P105+R105+T105+V105+X105+Z105+AB105+AD105+AF105+AH105</f>
        <v>0</v>
      </c>
      <c r="E105" s="243"/>
      <c r="F105" s="244"/>
      <c r="G105" s="243"/>
      <c r="H105" s="244"/>
      <c r="I105" s="243"/>
      <c r="J105" s="244"/>
      <c r="K105" s="243"/>
      <c r="L105" s="244"/>
      <c r="M105" s="243"/>
      <c r="N105" s="244"/>
      <c r="O105" s="243"/>
      <c r="P105" s="244"/>
      <c r="Q105" s="243"/>
      <c r="R105" s="244"/>
      <c r="S105" s="243"/>
      <c r="T105" s="244"/>
      <c r="U105" s="243"/>
      <c r="V105" s="341"/>
      <c r="W105" s="243"/>
      <c r="X105" s="244"/>
      <c r="Y105" s="243"/>
      <c r="Z105" s="244"/>
      <c r="AA105" s="243"/>
      <c r="AB105" s="244"/>
      <c r="AC105" s="243"/>
      <c r="AD105" s="244"/>
      <c r="AE105" s="243"/>
      <c r="AF105" s="244"/>
      <c r="AG105" s="243"/>
      <c r="AH105" s="244"/>
      <c r="AI105" s="243"/>
    </row>
    <row r="106" spans="2:35" ht="12" hidden="1" thickBot="1">
      <c r="B106" s="343" t="s">
        <v>865</v>
      </c>
      <c r="C106" s="243"/>
      <c r="D106" s="245">
        <f>F106+H106+J106+L106+N106+P106+R106+T106+V106+X106+Z106+AB106+AD106+AF106+AH106</f>
        <v>0</v>
      </c>
      <c r="E106" s="243">
        <f>+SUM(D105:D106)</f>
        <v>0</v>
      </c>
      <c r="F106" s="245"/>
      <c r="G106" s="243">
        <f>+SUM(F105:F106)</f>
        <v>0</v>
      </c>
      <c r="H106" s="245"/>
      <c r="I106" s="243">
        <f>+SUM(H105:H106)</f>
        <v>0</v>
      </c>
      <c r="J106" s="245"/>
      <c r="K106" s="243">
        <f>+SUM(J105:J106)</f>
        <v>0</v>
      </c>
      <c r="L106" s="245"/>
      <c r="M106" s="243">
        <f>+SUM(L105:L106)</f>
        <v>0</v>
      </c>
      <c r="N106" s="245"/>
      <c r="O106" s="243">
        <f>+SUM(N105:N106)</f>
        <v>0</v>
      </c>
      <c r="P106" s="245"/>
      <c r="Q106" s="243">
        <f>+SUM(P105:P106)</f>
        <v>0</v>
      </c>
      <c r="R106" s="245"/>
      <c r="S106" s="243">
        <f>+SUM(R105:R106)</f>
        <v>0</v>
      </c>
      <c r="T106" s="245"/>
      <c r="U106" s="243">
        <f>+SUM(T105:T106)</f>
        <v>0</v>
      </c>
      <c r="V106" s="344"/>
      <c r="W106" s="243">
        <f>+SUM(V105:V106)</f>
        <v>0</v>
      </c>
      <c r="X106" s="245"/>
      <c r="Y106" s="243">
        <f>+SUM(X105:X106)</f>
        <v>0</v>
      </c>
      <c r="Z106" s="245"/>
      <c r="AA106" s="243">
        <f>+SUM(Z105:Z106)</f>
        <v>0</v>
      </c>
      <c r="AB106" s="245"/>
      <c r="AC106" s="243">
        <f>+SUM(AB105:AB106)</f>
        <v>0</v>
      </c>
      <c r="AD106" s="245"/>
      <c r="AE106" s="243">
        <f>+SUM(AD105:AD106)</f>
        <v>0</v>
      </c>
      <c r="AF106" s="245"/>
      <c r="AG106" s="243">
        <f>+SUM(AF105:AF106)</f>
        <v>0</v>
      </c>
      <c r="AH106" s="245"/>
      <c r="AI106" s="243">
        <f>+SUM(AH105:AH106)</f>
        <v>0</v>
      </c>
    </row>
    <row r="107" spans="2:35" hidden="1">
      <c r="B107" s="345"/>
      <c r="C107" s="243"/>
      <c r="D107" s="237"/>
      <c r="E107" s="243"/>
      <c r="F107" s="244"/>
      <c r="G107" s="243"/>
      <c r="H107" s="244"/>
      <c r="I107" s="243"/>
      <c r="J107" s="244"/>
      <c r="K107" s="243"/>
      <c r="L107" s="244"/>
      <c r="M107" s="243"/>
      <c r="N107" s="244"/>
      <c r="O107" s="243"/>
      <c r="P107" s="244"/>
      <c r="Q107" s="243"/>
      <c r="R107" s="244"/>
      <c r="S107" s="243"/>
      <c r="T107" s="244"/>
      <c r="U107" s="243"/>
      <c r="V107" s="341"/>
      <c r="W107" s="243"/>
      <c r="X107" s="244"/>
      <c r="Y107" s="243"/>
      <c r="Z107" s="244"/>
      <c r="AA107" s="243"/>
      <c r="AB107" s="244"/>
      <c r="AC107" s="243"/>
      <c r="AD107" s="244"/>
      <c r="AE107" s="243"/>
      <c r="AF107" s="244"/>
      <c r="AG107" s="243"/>
      <c r="AH107" s="244"/>
      <c r="AI107" s="243"/>
    </row>
    <row r="108" spans="2:35" hidden="1">
      <c r="B108" s="346" t="s">
        <v>870</v>
      </c>
      <c r="C108" s="243"/>
      <c r="D108" s="237"/>
      <c r="E108" s="243"/>
      <c r="F108" s="244"/>
      <c r="G108" s="243"/>
      <c r="H108" s="244"/>
      <c r="I108" s="243"/>
      <c r="J108" s="244"/>
      <c r="K108" s="243"/>
      <c r="L108" s="244"/>
      <c r="M108" s="243"/>
      <c r="N108" s="244"/>
      <c r="O108" s="243"/>
      <c r="P108" s="244"/>
      <c r="Q108" s="243"/>
      <c r="R108" s="244"/>
      <c r="S108" s="243"/>
      <c r="T108" s="244"/>
      <c r="U108" s="243"/>
      <c r="V108" s="341"/>
      <c r="W108" s="243"/>
      <c r="X108" s="244"/>
      <c r="Y108" s="243"/>
      <c r="Z108" s="244"/>
      <c r="AA108" s="243"/>
      <c r="AB108" s="244"/>
      <c r="AC108" s="243"/>
      <c r="AD108" s="244"/>
      <c r="AE108" s="243"/>
      <c r="AF108" s="244"/>
      <c r="AG108" s="243"/>
      <c r="AH108" s="244"/>
      <c r="AI108" s="243"/>
    </row>
    <row r="109" spans="2:35" hidden="1">
      <c r="B109" s="343" t="s">
        <v>864</v>
      </c>
      <c r="C109" s="243"/>
      <c r="D109" s="237">
        <f>F109+H109+J109+L109+N109+P109+R109+T109+V109+X109+Z109+AB109+AD109+AF109+AH109</f>
        <v>0</v>
      </c>
      <c r="E109" s="243"/>
      <c r="F109" s="244"/>
      <c r="G109" s="243"/>
      <c r="H109" s="244"/>
      <c r="I109" s="243"/>
      <c r="J109" s="244"/>
      <c r="K109" s="243"/>
      <c r="L109" s="244"/>
      <c r="M109" s="243"/>
      <c r="N109" s="244"/>
      <c r="O109" s="243"/>
      <c r="P109" s="244"/>
      <c r="Q109" s="243"/>
      <c r="R109" s="244"/>
      <c r="S109" s="243"/>
      <c r="T109" s="244"/>
      <c r="U109" s="243"/>
      <c r="V109" s="341"/>
      <c r="W109" s="243"/>
      <c r="X109" s="244"/>
      <c r="Y109" s="243"/>
      <c r="Z109" s="244"/>
      <c r="AA109" s="243"/>
      <c r="AB109" s="244"/>
      <c r="AC109" s="243"/>
      <c r="AD109" s="244"/>
      <c r="AE109" s="243"/>
      <c r="AF109" s="244"/>
      <c r="AG109" s="243"/>
      <c r="AH109" s="244"/>
      <c r="AI109" s="243"/>
    </row>
    <row r="110" spans="2:35" ht="12" hidden="1" thickBot="1">
      <c r="B110" s="343" t="s">
        <v>865</v>
      </c>
      <c r="C110" s="243"/>
      <c r="D110" s="245">
        <f>F110+H110+J110+L110+N110+P110+R110+T110+V110+X110+Z110+AB110+AD110+AF110+AH110</f>
        <v>0</v>
      </c>
      <c r="E110" s="243">
        <f>+SUM(D109:D110)</f>
        <v>0</v>
      </c>
      <c r="F110" s="245"/>
      <c r="G110" s="243">
        <f>+SUM(F109:F110)</f>
        <v>0</v>
      </c>
      <c r="H110" s="245"/>
      <c r="I110" s="243">
        <f>+SUM(H109:H110)</f>
        <v>0</v>
      </c>
      <c r="J110" s="245"/>
      <c r="K110" s="243">
        <f>+SUM(J109:J110)</f>
        <v>0</v>
      </c>
      <c r="L110" s="245"/>
      <c r="M110" s="243">
        <f>+SUM(L109:L110)</f>
        <v>0</v>
      </c>
      <c r="N110" s="245"/>
      <c r="O110" s="243">
        <f>+SUM(N109:N110)</f>
        <v>0</v>
      </c>
      <c r="P110" s="245"/>
      <c r="Q110" s="243">
        <f>+SUM(P109:P110)</f>
        <v>0</v>
      </c>
      <c r="R110" s="245"/>
      <c r="S110" s="243">
        <f>+SUM(R109:R110)</f>
        <v>0</v>
      </c>
      <c r="T110" s="245"/>
      <c r="U110" s="243">
        <f>+SUM(T109:T110)</f>
        <v>0</v>
      </c>
      <c r="V110" s="344"/>
      <c r="W110" s="243">
        <f>+SUM(V109:V110)</f>
        <v>0</v>
      </c>
      <c r="X110" s="245"/>
      <c r="Y110" s="243">
        <f>+SUM(X109:X110)</f>
        <v>0</v>
      </c>
      <c r="Z110" s="245"/>
      <c r="AA110" s="243">
        <f>+SUM(Z109:Z110)</f>
        <v>0</v>
      </c>
      <c r="AB110" s="245"/>
      <c r="AC110" s="243">
        <f>+SUM(AB109:AB110)</f>
        <v>0</v>
      </c>
      <c r="AD110" s="245"/>
      <c r="AE110" s="243">
        <f>+SUM(AD109:AD110)</f>
        <v>0</v>
      </c>
      <c r="AF110" s="245"/>
      <c r="AG110" s="243">
        <f>+SUM(AF109:AF110)</f>
        <v>0</v>
      </c>
      <c r="AH110" s="245"/>
      <c r="AI110" s="243">
        <f>+SUM(AH109:AH110)</f>
        <v>0</v>
      </c>
    </row>
    <row r="111" spans="2:35" hidden="1">
      <c r="B111" s="345"/>
      <c r="C111" s="243"/>
      <c r="D111" s="237"/>
      <c r="E111" s="243"/>
      <c r="F111" s="244"/>
      <c r="G111" s="243"/>
      <c r="H111" s="244"/>
      <c r="I111" s="243"/>
      <c r="J111" s="244"/>
      <c r="K111" s="243"/>
      <c r="L111" s="244"/>
      <c r="M111" s="243"/>
      <c r="N111" s="244"/>
      <c r="O111" s="243"/>
      <c r="P111" s="244"/>
      <c r="Q111" s="243"/>
      <c r="R111" s="244"/>
      <c r="S111" s="243"/>
      <c r="T111" s="244"/>
      <c r="U111" s="243"/>
      <c r="V111" s="341"/>
      <c r="W111" s="243"/>
      <c r="X111" s="244"/>
      <c r="Y111" s="243"/>
      <c r="Z111" s="244"/>
      <c r="AA111" s="243"/>
      <c r="AB111" s="244"/>
      <c r="AC111" s="243"/>
      <c r="AD111" s="244"/>
      <c r="AE111" s="243"/>
      <c r="AF111" s="244"/>
      <c r="AG111" s="243"/>
      <c r="AH111" s="244"/>
      <c r="AI111" s="243"/>
    </row>
    <row r="112" spans="2:35" hidden="1">
      <c r="B112" s="347" t="s">
        <v>859</v>
      </c>
      <c r="C112" s="243"/>
      <c r="D112" s="237"/>
      <c r="E112" s="243"/>
      <c r="F112" s="244"/>
      <c r="G112" s="243"/>
      <c r="H112" s="244"/>
      <c r="I112" s="243"/>
      <c r="J112" s="244"/>
      <c r="K112" s="243"/>
      <c r="L112" s="244"/>
      <c r="M112" s="243"/>
      <c r="N112" s="244"/>
      <c r="O112" s="243"/>
      <c r="P112" s="244"/>
      <c r="Q112" s="243"/>
      <c r="R112" s="244"/>
      <c r="S112" s="243"/>
      <c r="T112" s="244"/>
      <c r="U112" s="243"/>
      <c r="V112" s="341"/>
      <c r="W112" s="243"/>
      <c r="X112" s="244"/>
      <c r="Y112" s="243"/>
      <c r="Z112" s="244"/>
      <c r="AA112" s="243"/>
      <c r="AB112" s="244"/>
      <c r="AC112" s="243"/>
      <c r="AD112" s="244"/>
      <c r="AE112" s="243"/>
      <c r="AF112" s="244"/>
      <c r="AG112" s="243"/>
      <c r="AH112" s="244"/>
      <c r="AI112" s="243"/>
    </row>
    <row r="113" spans="2:35" hidden="1">
      <c r="B113" s="343" t="s">
        <v>864</v>
      </c>
      <c r="C113" s="243"/>
      <c r="D113" s="237">
        <f>+D89+D93+D97+D101+D105+D109</f>
        <v>0</v>
      </c>
      <c r="E113" s="243"/>
      <c r="F113" s="237">
        <f>+F89+F93+F97+F101+F105+F109</f>
        <v>0</v>
      </c>
      <c r="G113" s="243"/>
      <c r="H113" s="237">
        <f>+H89+H93+H97+H101+H105+H109</f>
        <v>0</v>
      </c>
      <c r="I113" s="243"/>
      <c r="J113" s="237">
        <f>+J89+J93+J97+J101+J105+J109</f>
        <v>0</v>
      </c>
      <c r="K113" s="243"/>
      <c r="L113" s="237">
        <f>+L89+L93+L97+L101+L105+L109</f>
        <v>0</v>
      </c>
      <c r="M113" s="243"/>
      <c r="N113" s="237">
        <f>+N89+N93+N97+N101+N105+N109</f>
        <v>0</v>
      </c>
      <c r="O113" s="243"/>
      <c r="P113" s="237">
        <f>+P89+P93+P97+P101+P105+P109</f>
        <v>0</v>
      </c>
      <c r="Q113" s="243"/>
      <c r="R113" s="237">
        <f>+R89+R93+R97+R101+R105+R109</f>
        <v>0</v>
      </c>
      <c r="S113" s="243"/>
      <c r="T113" s="237">
        <f>+T89+T93+T97+T101+T105+T109</f>
        <v>0</v>
      </c>
      <c r="U113" s="243"/>
      <c r="V113" s="348">
        <f>+V89+V93+V97+V101+V105+V109</f>
        <v>0</v>
      </c>
      <c r="W113" s="243"/>
      <c r="X113" s="237">
        <f>+X89+X93+X97+X101+X105+X109</f>
        <v>0</v>
      </c>
      <c r="Y113" s="243"/>
      <c r="Z113" s="237">
        <f>+Z89+Z93+Z97+Z101+Z105+Z109</f>
        <v>0</v>
      </c>
      <c r="AA113" s="243"/>
      <c r="AB113" s="237">
        <f>+AB89+AB93+AB97+AB101+AB105+AB109</f>
        <v>0</v>
      </c>
      <c r="AC113" s="243"/>
      <c r="AD113" s="237">
        <f>+AD89+AD93+AD97+AD101+AD105+AD109</f>
        <v>0</v>
      </c>
      <c r="AE113" s="243"/>
      <c r="AF113" s="237">
        <f>+AF89+AF93+AF97+AF101+AF105+AF109</f>
        <v>0</v>
      </c>
      <c r="AG113" s="243"/>
      <c r="AH113" s="237">
        <f>+AH89+AH93+AH97+AH101+AH105+AH109</f>
        <v>0</v>
      </c>
      <c r="AI113" s="243"/>
    </row>
    <row r="114" spans="2:35" hidden="1">
      <c r="B114" s="343" t="s">
        <v>865</v>
      </c>
      <c r="C114" s="243"/>
      <c r="D114" s="237">
        <f>+D90+D94+D98+D102+D106+D110</f>
        <v>0</v>
      </c>
      <c r="E114" s="243">
        <f>+D113+D114</f>
        <v>0</v>
      </c>
      <c r="F114" s="237">
        <f>+F90+F94+F98+F102+F106+F110</f>
        <v>0</v>
      </c>
      <c r="G114" s="243">
        <f>+F113+F114</f>
        <v>0</v>
      </c>
      <c r="H114" s="237">
        <f>+H90+H94+H98+H102+H106+H110</f>
        <v>0</v>
      </c>
      <c r="I114" s="243">
        <f>+H113+H114</f>
        <v>0</v>
      </c>
      <c r="J114" s="237">
        <f>+J90+J94+J98+J102+J106+J110</f>
        <v>0</v>
      </c>
      <c r="K114" s="243">
        <f>+J113+J114</f>
        <v>0</v>
      </c>
      <c r="L114" s="237">
        <f>+L90+L94+L98+L102+L106+L110</f>
        <v>0</v>
      </c>
      <c r="M114" s="243">
        <f>+L113+L114</f>
        <v>0</v>
      </c>
      <c r="N114" s="237">
        <f>+N90+N94+N98+N102+N106+N110</f>
        <v>0</v>
      </c>
      <c r="O114" s="243">
        <f>+N113+N114</f>
        <v>0</v>
      </c>
      <c r="P114" s="237">
        <f>+P90+P94+P98+P102+P106+P110</f>
        <v>0</v>
      </c>
      <c r="Q114" s="243">
        <f>+P113+P114</f>
        <v>0</v>
      </c>
      <c r="R114" s="237">
        <f>+R90+R94+R98+R102+R106+R110</f>
        <v>0</v>
      </c>
      <c r="S114" s="243">
        <f>+R113+R114</f>
        <v>0</v>
      </c>
      <c r="T114" s="237">
        <f>+T90+T94+T98+T102+T106+T110</f>
        <v>0</v>
      </c>
      <c r="U114" s="243">
        <f>+T113+T114</f>
        <v>0</v>
      </c>
      <c r="V114" s="348">
        <f>+V90+V94+V98+V102+V106+V110</f>
        <v>0</v>
      </c>
      <c r="W114" s="243">
        <f>+V113+V114</f>
        <v>0</v>
      </c>
      <c r="X114" s="237">
        <f>+X90+X94+X98+X102+X106+X110</f>
        <v>0</v>
      </c>
      <c r="Y114" s="243">
        <f>+X113+X114</f>
        <v>0</v>
      </c>
      <c r="Z114" s="237">
        <f>+Z90+Z94+Z98+Z102+Z106+Z110</f>
        <v>0</v>
      </c>
      <c r="AA114" s="243">
        <f>+Z113+Z114</f>
        <v>0</v>
      </c>
      <c r="AB114" s="237">
        <f>+AB90+AB94+AB98+AB102+AB106+AB110</f>
        <v>0</v>
      </c>
      <c r="AC114" s="243">
        <f>+AB113+AB114</f>
        <v>0</v>
      </c>
      <c r="AD114" s="237">
        <f>+AD90+AD94+AD98+AD102+AD106+AD110</f>
        <v>0</v>
      </c>
      <c r="AE114" s="243">
        <f>+AD113+AD114</f>
        <v>0</v>
      </c>
      <c r="AF114" s="237">
        <f>+AF90+AF94+AF98+AF102+AF106+AF110</f>
        <v>0</v>
      </c>
      <c r="AG114" s="243">
        <f>+AF113+AF114</f>
        <v>0</v>
      </c>
      <c r="AH114" s="237">
        <f>+AH90+AH94+AH98+AH102+AH106+AH110</f>
        <v>0</v>
      </c>
      <c r="AI114" s="243">
        <f>+AH113+AH114</f>
        <v>0</v>
      </c>
    </row>
    <row r="115" spans="2:35" ht="12" hidden="1" thickBot="1">
      <c r="B115" s="349" t="s">
        <v>860</v>
      </c>
      <c r="C115" s="247"/>
      <c r="D115" s="339"/>
      <c r="E115" s="274">
        <f>+E114</f>
        <v>0</v>
      </c>
      <c r="F115" s="339"/>
      <c r="G115" s="274">
        <f>+G114</f>
        <v>0</v>
      </c>
      <c r="H115" s="339"/>
      <c r="I115" s="274">
        <f>+I114</f>
        <v>0</v>
      </c>
      <c r="J115" s="339"/>
      <c r="K115" s="274">
        <f>+K114</f>
        <v>0</v>
      </c>
      <c r="L115" s="339"/>
      <c r="M115" s="274">
        <f>+M114</f>
        <v>0</v>
      </c>
      <c r="N115" s="339"/>
      <c r="O115" s="274">
        <f>+O114</f>
        <v>0</v>
      </c>
      <c r="P115" s="339"/>
      <c r="Q115" s="274">
        <f>+Q114</f>
        <v>0</v>
      </c>
      <c r="R115" s="339"/>
      <c r="S115" s="274">
        <f>+S114</f>
        <v>0</v>
      </c>
      <c r="T115" s="339"/>
      <c r="U115" s="274">
        <f>+U114</f>
        <v>0</v>
      </c>
      <c r="V115" s="350"/>
      <c r="W115" s="274">
        <f>+W114</f>
        <v>0</v>
      </c>
      <c r="X115" s="339"/>
      <c r="Y115" s="274">
        <f>+Y114</f>
        <v>0</v>
      </c>
      <c r="Z115" s="339"/>
      <c r="AA115" s="274">
        <f>+AA114</f>
        <v>0</v>
      </c>
      <c r="AB115" s="339"/>
      <c r="AC115" s="274">
        <f>+AC114</f>
        <v>0</v>
      </c>
      <c r="AD115" s="339"/>
      <c r="AE115" s="274">
        <f>+AE114</f>
        <v>0</v>
      </c>
      <c r="AF115" s="339"/>
      <c r="AG115" s="274">
        <f>+AG114</f>
        <v>0</v>
      </c>
      <c r="AH115" s="339"/>
      <c r="AI115" s="274">
        <f>+AI114</f>
        <v>0</v>
      </c>
    </row>
    <row r="116" spans="2:35" hidden="1"/>
    <row r="117" spans="2:35" hidden="1">
      <c r="B117" s="318" t="s">
        <v>871</v>
      </c>
    </row>
    <row r="118" spans="2:35" hidden="1"/>
    <row r="119" spans="2:35" ht="25.5" hidden="1" customHeight="1">
      <c r="B119" s="1475" t="s">
        <v>872</v>
      </c>
      <c r="C119" s="1475"/>
      <c r="D119" s="1475"/>
      <c r="E119" s="1475"/>
      <c r="F119" s="1475"/>
      <c r="G119" s="1475"/>
    </row>
    <row r="120" spans="2:35" hidden="1"/>
    <row r="121" spans="2:35" hidden="1">
      <c r="B121" s="1477" t="s">
        <v>873</v>
      </c>
      <c r="C121" s="1477"/>
      <c r="D121" s="1477"/>
      <c r="E121" s="1477"/>
      <c r="F121" s="1477"/>
      <c r="G121" s="1477"/>
    </row>
    <row r="122" spans="2:35" hidden="1"/>
    <row r="123" spans="2:35" hidden="1">
      <c r="B123" s="1477" t="s">
        <v>874</v>
      </c>
      <c r="C123" s="1477"/>
      <c r="D123" s="1477"/>
      <c r="E123" s="1477"/>
      <c r="F123" s="1477"/>
      <c r="G123" s="1477"/>
    </row>
    <row r="125" spans="2:35">
      <c r="B125" s="335" t="s">
        <v>715</v>
      </c>
    </row>
    <row r="126" spans="2:35" ht="12" thickBot="1">
      <c r="G126" s="335" t="s">
        <v>247</v>
      </c>
    </row>
    <row r="127" spans="2:35" ht="12" customHeight="1" thickBot="1">
      <c r="B127" s="249"/>
      <c r="C127" s="251"/>
      <c r="D127" s="1463" t="s">
        <v>860</v>
      </c>
      <c r="E127" s="1464"/>
      <c r="F127" s="1463" t="s">
        <v>17</v>
      </c>
      <c r="G127" s="1464"/>
      <c r="H127" s="1463" t="s">
        <v>18</v>
      </c>
      <c r="I127" s="1464"/>
      <c r="J127" s="1463" t="s">
        <v>19</v>
      </c>
      <c r="K127" s="1464"/>
      <c r="L127" s="1463" t="s">
        <v>20</v>
      </c>
      <c r="M127" s="1464"/>
      <c r="N127" s="1463" t="s">
        <v>21</v>
      </c>
      <c r="O127" s="1464"/>
      <c r="P127" s="1463" t="s">
        <v>22</v>
      </c>
      <c r="Q127" s="1464"/>
      <c r="R127" s="1463" t="s">
        <v>23</v>
      </c>
      <c r="S127" s="1464"/>
      <c r="T127" s="1463" t="s">
        <v>24</v>
      </c>
      <c r="U127" s="1464"/>
      <c r="V127" s="1463" t="s">
        <v>25</v>
      </c>
      <c r="W127" s="1464"/>
      <c r="X127" s="1463" t="s">
        <v>26</v>
      </c>
      <c r="Y127" s="1464"/>
      <c r="Z127" s="1463" t="s">
        <v>27</v>
      </c>
      <c r="AA127" s="1464"/>
      <c r="AB127" s="1463" t="s">
        <v>28</v>
      </c>
      <c r="AC127" s="1464"/>
      <c r="AD127" s="1463" t="s">
        <v>29</v>
      </c>
      <c r="AE127" s="1464"/>
      <c r="AF127" s="1463" t="s">
        <v>30</v>
      </c>
      <c r="AG127" s="1464"/>
      <c r="AH127" s="1463" t="s">
        <v>31</v>
      </c>
      <c r="AI127" s="1464"/>
    </row>
    <row r="128" spans="2:35">
      <c r="B128" s="327" t="s">
        <v>876</v>
      </c>
      <c r="C128" s="244"/>
      <c r="D128" s="351"/>
      <c r="E128" s="352"/>
      <c r="F128" s="351"/>
      <c r="G128" s="352"/>
      <c r="H128" s="351"/>
      <c r="I128" s="352"/>
      <c r="J128" s="351"/>
      <c r="K128" s="352"/>
      <c r="L128" s="351"/>
      <c r="M128" s="352"/>
      <c r="N128" s="351"/>
      <c r="O128" s="352"/>
      <c r="P128" s="351"/>
      <c r="Q128" s="352"/>
      <c r="R128" s="351"/>
      <c r="S128" s="352"/>
      <c r="T128" s="351"/>
      <c r="U128" s="352"/>
      <c r="V128" s="353"/>
      <c r="W128" s="352"/>
      <c r="X128" s="351"/>
      <c r="Y128" s="352"/>
      <c r="Z128" s="351"/>
      <c r="AA128" s="352"/>
      <c r="AB128" s="351"/>
      <c r="AC128" s="352"/>
      <c r="AD128" s="351"/>
      <c r="AE128" s="352"/>
      <c r="AF128" s="351"/>
      <c r="AG128" s="352"/>
      <c r="AH128" s="351"/>
      <c r="AI128" s="352"/>
    </row>
    <row r="129" spans="2:35">
      <c r="B129" s="327" t="s">
        <v>877</v>
      </c>
      <c r="C129" s="244"/>
      <c r="D129" s="237">
        <f>F129+H129+J129+L129+N129+P129+R129+T129+V129+X129+Z129+AB129+AD129+AF129+AH129</f>
        <v>104381055</v>
      </c>
      <c r="E129" s="352"/>
      <c r="F129" s="327"/>
      <c r="G129" s="352"/>
      <c r="H129" s="327"/>
      <c r="I129" s="352"/>
      <c r="J129" s="327"/>
      <c r="K129" s="352"/>
      <c r="L129" s="327"/>
      <c r="M129" s="352"/>
      <c r="N129" s="327"/>
      <c r="O129" s="352"/>
      <c r="P129" s="354"/>
      <c r="Q129" s="352"/>
      <c r="R129" s="327"/>
      <c r="S129" s="352"/>
      <c r="T129" s="354"/>
      <c r="U129" s="352"/>
      <c r="V129" s="354"/>
      <c r="W129" s="352"/>
      <c r="X129" s="327"/>
      <c r="Y129" s="352"/>
      <c r="Z129" s="354">
        <v>12857708</v>
      </c>
      <c r="AA129" s="352"/>
      <c r="AB129" s="327"/>
      <c r="AC129" s="352"/>
      <c r="AD129" s="327"/>
      <c r="AE129" s="352"/>
      <c r="AF129" s="354">
        <v>91523347</v>
      </c>
      <c r="AG129" s="352"/>
      <c r="AH129" s="327"/>
      <c r="AI129" s="352"/>
    </row>
    <row r="130" spans="2:35" ht="12" thickBot="1">
      <c r="B130" s="327" t="s">
        <v>878</v>
      </c>
      <c r="C130" s="244"/>
      <c r="D130" s="245">
        <f>F130+H130+J130+L130+N130+P130+R130+T130+V130+X130+Z130+AB130+AD130+AF130+AH130</f>
        <v>0</v>
      </c>
      <c r="E130" s="233">
        <f>+SUM(D129:D130)</f>
        <v>104381055</v>
      </c>
      <c r="F130" s="235"/>
      <c r="G130" s="233">
        <f>+SUM(F129:F130)</f>
        <v>0</v>
      </c>
      <c r="H130" s="235"/>
      <c r="I130" s="233">
        <f>+SUM(H129:H130)</f>
        <v>0</v>
      </c>
      <c r="J130" s="235"/>
      <c r="K130" s="233">
        <f>+SUM(J129:J130)</f>
        <v>0</v>
      </c>
      <c r="L130" s="235"/>
      <c r="M130" s="233">
        <f>+SUM(L129:L130)</f>
        <v>0</v>
      </c>
      <c r="N130" s="235"/>
      <c r="O130" s="233">
        <f>+SUM(N129:N130)</f>
        <v>0</v>
      </c>
      <c r="P130" s="235"/>
      <c r="Q130" s="233">
        <f>+SUM(P129:P130)</f>
        <v>0</v>
      </c>
      <c r="R130" s="235"/>
      <c r="S130" s="233">
        <f>+SUM(R129:R130)</f>
        <v>0</v>
      </c>
      <c r="T130" s="235"/>
      <c r="U130" s="233">
        <f>+SUM(T129:T130)</f>
        <v>0</v>
      </c>
      <c r="V130" s="355"/>
      <c r="W130" s="233">
        <f>+SUM(V129:V130)</f>
        <v>0</v>
      </c>
      <c r="X130" s="235"/>
      <c r="Y130" s="233">
        <f>+SUM(X129:X130)</f>
        <v>0</v>
      </c>
      <c r="Z130" s="235"/>
      <c r="AA130" s="233">
        <f>+SUM(Z129:Z130)</f>
        <v>12857708</v>
      </c>
      <c r="AB130" s="235"/>
      <c r="AC130" s="233">
        <f>+SUM(AB129:AB130)</f>
        <v>0</v>
      </c>
      <c r="AD130" s="235"/>
      <c r="AE130" s="233">
        <f>+SUM(AD129:AD130)</f>
        <v>0</v>
      </c>
      <c r="AF130" s="235"/>
      <c r="AG130" s="233">
        <f>+SUM(AF129:AF130)</f>
        <v>91523347</v>
      </c>
      <c r="AH130" s="235"/>
      <c r="AI130" s="233">
        <f>+SUM(AH129:AH130)</f>
        <v>0</v>
      </c>
    </row>
    <row r="131" spans="2:35">
      <c r="B131" s="327" t="s">
        <v>879</v>
      </c>
      <c r="C131" s="244"/>
      <c r="D131" s="327"/>
      <c r="E131" s="233">
        <f>G131+I131+K131+M131+O131+Q131+S131+U131+W131+Y131+AA131+AC131+AE131+AG131+AI131</f>
        <v>0</v>
      </c>
      <c r="F131" s="327"/>
      <c r="G131" s="233"/>
      <c r="H131" s="327"/>
      <c r="I131" s="233"/>
      <c r="J131" s="327"/>
      <c r="K131" s="233"/>
      <c r="L131" s="327"/>
      <c r="M131" s="233"/>
      <c r="N131" s="327"/>
      <c r="O131" s="233"/>
      <c r="P131" s="327"/>
      <c r="Q131" s="233"/>
      <c r="R131" s="327"/>
      <c r="S131" s="233"/>
      <c r="T131" s="327"/>
      <c r="U131" s="233"/>
      <c r="V131" s="354"/>
      <c r="W131" s="233"/>
      <c r="X131" s="327"/>
      <c r="Y131" s="233"/>
      <c r="Z131" s="327"/>
      <c r="AA131" s="233"/>
      <c r="AB131" s="327"/>
      <c r="AC131" s="233"/>
      <c r="AD131" s="327"/>
      <c r="AE131" s="233"/>
      <c r="AF131" s="327"/>
      <c r="AG131" s="233"/>
      <c r="AH131" s="327"/>
      <c r="AI131" s="233"/>
    </row>
    <row r="132" spans="2:35">
      <c r="B132" s="327" t="s">
        <v>151</v>
      </c>
      <c r="C132" s="244"/>
      <c r="D132" s="237">
        <f>F132+H132+J132+L132+N132+P132+R132+T132+V132+X132+Z132+AB132+AD132+AF132+AH132</f>
        <v>19947190</v>
      </c>
      <c r="E132" s="233"/>
      <c r="F132" s="327"/>
      <c r="G132" s="233"/>
      <c r="H132" s="327"/>
      <c r="I132" s="233"/>
      <c r="J132" s="327"/>
      <c r="K132" s="233"/>
      <c r="L132" s="327"/>
      <c r="M132" s="233"/>
      <c r="N132" s="327"/>
      <c r="O132" s="233"/>
      <c r="P132" s="327"/>
      <c r="Q132" s="233"/>
      <c r="R132" s="327"/>
      <c r="S132" s="233"/>
      <c r="T132" s="327"/>
      <c r="U132" s="233"/>
      <c r="V132" s="354"/>
      <c r="W132" s="233"/>
      <c r="X132" s="327"/>
      <c r="Y132" s="233"/>
      <c r="Z132" s="354">
        <v>19947190</v>
      </c>
      <c r="AA132" s="233"/>
      <c r="AB132" s="327"/>
      <c r="AC132" s="233"/>
      <c r="AD132" s="327"/>
      <c r="AE132" s="233"/>
      <c r="AF132" s="327"/>
      <c r="AG132" s="233"/>
      <c r="AH132" s="327"/>
      <c r="AI132" s="233"/>
    </row>
    <row r="133" spans="2:35" ht="12" thickBot="1">
      <c r="B133" s="327" t="s">
        <v>152</v>
      </c>
      <c r="C133" s="244"/>
      <c r="D133" s="245">
        <f>F133+H133+J133+L133+N133+P133+R133+T133+V133+X133+Z133+AB133+AD133+AF133+AH133</f>
        <v>66848225</v>
      </c>
      <c r="E133" s="233">
        <f>+SUM(D132:D133)</f>
        <v>86795415</v>
      </c>
      <c r="F133" s="235"/>
      <c r="G133" s="233">
        <f>+SUM(F132:F133)</f>
        <v>0</v>
      </c>
      <c r="H133" s="235"/>
      <c r="I133" s="233">
        <f t="shared" ref="I133" si="0">+SUM(H132:H133)</f>
        <v>0</v>
      </c>
      <c r="J133" s="235"/>
      <c r="K133" s="233">
        <f t="shared" ref="K133" si="1">+SUM(J132:J133)</f>
        <v>0</v>
      </c>
      <c r="L133" s="235"/>
      <c r="M133" s="233">
        <f t="shared" ref="M133" si="2">+SUM(L132:L133)</f>
        <v>0</v>
      </c>
      <c r="N133" s="355">
        <v>18015907</v>
      </c>
      <c r="O133" s="233">
        <f>+SUM(N132:N133)</f>
        <v>18015907</v>
      </c>
      <c r="P133" s="355">
        <v>2244023</v>
      </c>
      <c r="Q133" s="233">
        <f t="shared" ref="Q133:AI133" si="3">+SUM(P132:P133)</f>
        <v>2244023</v>
      </c>
      <c r="R133" s="235"/>
      <c r="S133" s="233">
        <f t="shared" si="3"/>
        <v>0</v>
      </c>
      <c r="T133" s="235"/>
      <c r="U133" s="233">
        <f t="shared" si="3"/>
        <v>0</v>
      </c>
      <c r="V133" s="235"/>
      <c r="W133" s="233">
        <f t="shared" si="3"/>
        <v>0</v>
      </c>
      <c r="X133" s="235"/>
      <c r="Y133" s="233">
        <f t="shared" si="3"/>
        <v>0</v>
      </c>
      <c r="Z133" s="235"/>
      <c r="AA133" s="233">
        <f t="shared" si="3"/>
        <v>19947190</v>
      </c>
      <c r="AB133" s="235"/>
      <c r="AC133" s="233">
        <f t="shared" si="3"/>
        <v>0</v>
      </c>
      <c r="AD133" s="235"/>
      <c r="AE133" s="233">
        <f t="shared" si="3"/>
        <v>0</v>
      </c>
      <c r="AF133" s="355">
        <v>34241190</v>
      </c>
      <c r="AG133" s="233">
        <f t="shared" si="3"/>
        <v>34241190</v>
      </c>
      <c r="AH133" s="355">
        <v>12347105</v>
      </c>
      <c r="AI133" s="233">
        <f t="shared" si="3"/>
        <v>12347105</v>
      </c>
    </row>
    <row r="134" spans="2:35">
      <c r="B134" s="327"/>
      <c r="C134" s="244"/>
      <c r="D134" s="327"/>
      <c r="E134" s="233"/>
      <c r="F134" s="327"/>
      <c r="G134" s="233"/>
      <c r="H134" s="327"/>
      <c r="I134" s="233"/>
      <c r="J134" s="327"/>
      <c r="K134" s="233"/>
      <c r="L134" s="327"/>
      <c r="M134" s="233"/>
      <c r="N134" s="327"/>
      <c r="O134" s="233"/>
      <c r="P134" s="327"/>
      <c r="Q134" s="233"/>
      <c r="R134" s="327"/>
      <c r="S134" s="233"/>
      <c r="T134" s="327"/>
      <c r="U134" s="233"/>
      <c r="V134" s="354"/>
      <c r="W134" s="233"/>
      <c r="X134" s="327"/>
      <c r="Y134" s="233"/>
      <c r="Z134" s="327"/>
      <c r="AA134" s="233"/>
      <c r="AB134" s="327"/>
      <c r="AC134" s="233"/>
      <c r="AD134" s="327"/>
      <c r="AE134" s="233"/>
      <c r="AF134" s="327"/>
      <c r="AG134" s="233"/>
      <c r="AH134" s="327"/>
      <c r="AI134" s="233"/>
    </row>
    <row r="135" spans="2:35" ht="12" thickBot="1">
      <c r="B135" s="665" t="s">
        <v>806</v>
      </c>
      <c r="C135" s="248"/>
      <c r="D135" s="235"/>
      <c r="E135" s="234">
        <f>+SUM(E129:E134)</f>
        <v>191176470</v>
      </c>
      <c r="F135" s="235"/>
      <c r="G135" s="234">
        <f>+SUM(G129:G134)</f>
        <v>0</v>
      </c>
      <c r="H135" s="235"/>
      <c r="I135" s="234">
        <f>+SUM(I129:I134)</f>
        <v>0</v>
      </c>
      <c r="J135" s="235"/>
      <c r="K135" s="234">
        <f>+SUM(K129:K134)</f>
        <v>0</v>
      </c>
      <c r="L135" s="235"/>
      <c r="M135" s="234">
        <f>+SUM(M129:M134)</f>
        <v>0</v>
      </c>
      <c r="N135" s="235"/>
      <c r="O135" s="234">
        <f>+SUM(O129:O134)</f>
        <v>18015907</v>
      </c>
      <c r="P135" s="235"/>
      <c r="Q135" s="234">
        <f>+SUM(Q129:Q134)</f>
        <v>2244023</v>
      </c>
      <c r="R135" s="235"/>
      <c r="S135" s="234">
        <f>+SUM(S129:S134)</f>
        <v>0</v>
      </c>
      <c r="T135" s="235"/>
      <c r="U135" s="234">
        <f>+SUM(U129:U134)</f>
        <v>0</v>
      </c>
      <c r="V135" s="355"/>
      <c r="W135" s="234">
        <f>+SUM(W129:W134)</f>
        <v>0</v>
      </c>
      <c r="X135" s="235"/>
      <c r="Y135" s="234">
        <f>+SUM(Y129:Y134)</f>
        <v>0</v>
      </c>
      <c r="Z135" s="235"/>
      <c r="AA135" s="234">
        <f>+SUM(AA129:AA134)</f>
        <v>32804898</v>
      </c>
      <c r="AB135" s="235"/>
      <c r="AC135" s="234">
        <f>+SUM(AC129:AC134)</f>
        <v>0</v>
      </c>
      <c r="AD135" s="235"/>
      <c r="AE135" s="234">
        <f>+SUM(AE129:AE134)</f>
        <v>0</v>
      </c>
      <c r="AF135" s="235"/>
      <c r="AG135" s="234">
        <f>+SUM(AG129:AG134)</f>
        <v>125764537</v>
      </c>
      <c r="AH135" s="235"/>
      <c r="AI135" s="234">
        <f>+SUM(AI129:AI134)</f>
        <v>12347105</v>
      </c>
    </row>
    <row r="137" spans="2:35" ht="22.5" hidden="1" customHeight="1">
      <c r="B137" s="1475" t="s">
        <v>881</v>
      </c>
      <c r="C137" s="1475"/>
      <c r="D137" s="1475"/>
      <c r="E137" s="1475"/>
      <c r="F137" s="1475"/>
      <c r="G137" s="1475"/>
    </row>
    <row r="139" spans="2:35">
      <c r="B139" s="318" t="s">
        <v>716</v>
      </c>
    </row>
    <row r="140" spans="2:35" ht="12" thickBot="1">
      <c r="G140" s="335" t="s">
        <v>247</v>
      </c>
    </row>
    <row r="141" spans="2:35" ht="12" thickBot="1">
      <c r="B141" s="334"/>
      <c r="C141" s="250"/>
      <c r="D141" s="1463" t="s">
        <v>860</v>
      </c>
      <c r="E141" s="1464"/>
      <c r="F141" s="1463" t="s">
        <v>17</v>
      </c>
      <c r="G141" s="1464"/>
      <c r="H141" s="1463" t="s">
        <v>18</v>
      </c>
      <c r="I141" s="1464"/>
      <c r="J141" s="1463" t="s">
        <v>19</v>
      </c>
      <c r="K141" s="1464"/>
      <c r="L141" s="1463" t="s">
        <v>20</v>
      </c>
      <c r="M141" s="1464"/>
      <c r="N141" s="1463" t="s">
        <v>21</v>
      </c>
      <c r="O141" s="1464"/>
      <c r="P141" s="1463" t="s">
        <v>22</v>
      </c>
      <c r="Q141" s="1464"/>
      <c r="R141" s="1463" t="s">
        <v>23</v>
      </c>
      <c r="S141" s="1464"/>
      <c r="T141" s="1463" t="s">
        <v>24</v>
      </c>
      <c r="U141" s="1464"/>
      <c r="V141" s="1463" t="s">
        <v>25</v>
      </c>
      <c r="W141" s="1464"/>
      <c r="X141" s="1463" t="s">
        <v>26</v>
      </c>
      <c r="Y141" s="1464"/>
      <c r="Z141" s="1463" t="s">
        <v>27</v>
      </c>
      <c r="AA141" s="1464"/>
      <c r="AB141" s="1463" t="s">
        <v>28</v>
      </c>
      <c r="AC141" s="1464"/>
      <c r="AD141" s="1463" t="s">
        <v>29</v>
      </c>
      <c r="AE141" s="1464"/>
      <c r="AF141" s="1463" t="s">
        <v>30</v>
      </c>
      <c r="AG141" s="1464"/>
      <c r="AH141" s="1463" t="s">
        <v>31</v>
      </c>
      <c r="AI141" s="1464"/>
    </row>
    <row r="142" spans="2:35">
      <c r="B142" s="327"/>
      <c r="C142" s="243"/>
      <c r="D142" s="351"/>
      <c r="E142" s="356"/>
      <c r="F142" s="357"/>
      <c r="G142" s="352"/>
      <c r="H142" s="357"/>
      <c r="I142" s="352"/>
      <c r="J142" s="357"/>
      <c r="K142" s="352"/>
      <c r="L142" s="357"/>
      <c r="M142" s="352"/>
      <c r="N142" s="357"/>
      <c r="O142" s="352"/>
      <c r="P142" s="357"/>
      <c r="Q142" s="352"/>
      <c r="R142" s="357"/>
      <c r="S142" s="352"/>
      <c r="T142" s="357"/>
      <c r="U142" s="352"/>
      <c r="V142" s="358"/>
      <c r="W142" s="352"/>
      <c r="X142" s="357"/>
      <c r="Y142" s="352"/>
      <c r="Z142" s="357"/>
      <c r="AA142" s="352"/>
      <c r="AB142" s="357"/>
      <c r="AC142" s="352"/>
      <c r="AD142" s="357"/>
      <c r="AE142" s="352"/>
      <c r="AF142" s="357"/>
      <c r="AG142" s="352"/>
      <c r="AH142" s="357"/>
      <c r="AI142" s="352"/>
    </row>
    <row r="143" spans="2:35">
      <c r="B143" s="791" t="s">
        <v>888</v>
      </c>
      <c r="C143" s="243"/>
      <c r="D143" s="327"/>
      <c r="E143" s="352"/>
      <c r="F143" s="360"/>
      <c r="G143" s="352"/>
      <c r="H143" s="360"/>
      <c r="I143" s="352"/>
      <c r="J143" s="360"/>
      <c r="K143" s="352"/>
      <c r="L143" s="360"/>
      <c r="M143" s="352"/>
      <c r="N143" s="360"/>
      <c r="O143" s="352"/>
      <c r="P143" s="360"/>
      <c r="Q143" s="352"/>
      <c r="R143" s="360"/>
      <c r="S143" s="352"/>
      <c r="T143" s="360"/>
      <c r="U143" s="352"/>
      <c r="V143" s="239"/>
      <c r="W143" s="352"/>
      <c r="X143" s="360"/>
      <c r="Y143" s="352"/>
      <c r="Z143" s="360"/>
      <c r="AA143" s="352"/>
      <c r="AB143" s="360"/>
      <c r="AC143" s="352"/>
      <c r="AD143" s="360"/>
      <c r="AE143" s="352"/>
      <c r="AF143" s="360"/>
      <c r="AG143" s="352"/>
      <c r="AH143" s="360"/>
      <c r="AI143" s="352"/>
    </row>
    <row r="144" spans="2:35">
      <c r="B144" s="720" t="s">
        <v>1190</v>
      </c>
      <c r="C144" s="243"/>
      <c r="D144" s="237">
        <f t="shared" ref="D144:D149" si="4">F144+H144+J144+L144+N144+P144+R144+T144+V144+X144+Z144+AB144+AD144+AF144+AH144</f>
        <v>230431521</v>
      </c>
      <c r="E144" s="352"/>
      <c r="F144" s="239">
        <v>77507269</v>
      </c>
      <c r="G144" s="352"/>
      <c r="H144" s="239">
        <v>4585477</v>
      </c>
      <c r="I144" s="352"/>
      <c r="J144" s="239">
        <v>4801641</v>
      </c>
      <c r="K144" s="352"/>
      <c r="L144" s="239">
        <v>4432807</v>
      </c>
      <c r="M144" s="352"/>
      <c r="N144" s="239">
        <v>14908002</v>
      </c>
      <c r="O144" s="352"/>
      <c r="P144" s="239">
        <v>21599588</v>
      </c>
      <c r="Q144" s="352"/>
      <c r="R144" s="239">
        <v>6125999</v>
      </c>
      <c r="S144" s="352"/>
      <c r="T144" s="491">
        <v>15660965</v>
      </c>
      <c r="U144" s="352"/>
      <c r="V144" s="239">
        <v>17804217</v>
      </c>
      <c r="W144" s="352"/>
      <c r="X144" s="239">
        <v>3005071</v>
      </c>
      <c r="Y144" s="352"/>
      <c r="Z144" s="239">
        <v>10305238</v>
      </c>
      <c r="AA144" s="352"/>
      <c r="AB144" s="239">
        <v>4054321</v>
      </c>
      <c r="AC144" s="352"/>
      <c r="AD144" s="239">
        <v>17440259</v>
      </c>
      <c r="AE144" s="352"/>
      <c r="AF144" s="239">
        <v>25337607</v>
      </c>
      <c r="AG144" s="352"/>
      <c r="AH144" s="239">
        <v>2863060</v>
      </c>
      <c r="AI144" s="352"/>
    </row>
    <row r="145" spans="2:35">
      <c r="B145" s="361" t="s">
        <v>956</v>
      </c>
      <c r="C145" s="243"/>
      <c r="D145" s="237">
        <f t="shared" si="4"/>
        <v>1207467967</v>
      </c>
      <c r="E145" s="352"/>
      <c r="F145" s="239">
        <v>330401617</v>
      </c>
      <c r="G145" s="352"/>
      <c r="H145" s="239">
        <v>27803650</v>
      </c>
      <c r="I145" s="352"/>
      <c r="J145" s="239">
        <v>9292830</v>
      </c>
      <c r="K145" s="352"/>
      <c r="L145" s="239">
        <v>19180286</v>
      </c>
      <c r="M145" s="352"/>
      <c r="N145" s="239">
        <v>68695587</v>
      </c>
      <c r="O145" s="352"/>
      <c r="P145" s="239">
        <v>91031329</v>
      </c>
      <c r="Q145" s="352"/>
      <c r="R145" s="239">
        <v>53536032</v>
      </c>
      <c r="S145" s="352"/>
      <c r="T145" s="491">
        <v>99649922</v>
      </c>
      <c r="U145" s="352"/>
      <c r="V145" s="239">
        <v>154059182</v>
      </c>
      <c r="W145" s="352"/>
      <c r="X145" s="239">
        <v>6631709</v>
      </c>
      <c r="Y145" s="352"/>
      <c r="Z145" s="239">
        <v>76058041</v>
      </c>
      <c r="AA145" s="352"/>
      <c r="AB145" s="239">
        <v>44008382</v>
      </c>
      <c r="AC145" s="352"/>
      <c r="AD145" s="239">
        <v>31353152</v>
      </c>
      <c r="AE145" s="352"/>
      <c r="AF145" s="239">
        <v>195766248</v>
      </c>
      <c r="AG145" s="352"/>
      <c r="AH145" s="239"/>
      <c r="AI145" s="352"/>
    </row>
    <row r="146" spans="2:35">
      <c r="B146" s="361" t="s">
        <v>886</v>
      </c>
      <c r="C146" s="243"/>
      <c r="D146" s="237">
        <f t="shared" si="4"/>
        <v>165471826</v>
      </c>
      <c r="E146" s="352"/>
      <c r="F146" s="239">
        <v>61809563</v>
      </c>
      <c r="G146" s="352"/>
      <c r="H146" s="239">
        <v>3246152</v>
      </c>
      <c r="I146" s="352"/>
      <c r="J146" s="239">
        <v>3123606</v>
      </c>
      <c r="K146" s="352"/>
      <c r="L146" s="239">
        <v>3457490</v>
      </c>
      <c r="M146" s="352"/>
      <c r="N146" s="239">
        <v>6359268</v>
      </c>
      <c r="O146" s="352"/>
      <c r="P146" s="239">
        <v>12585536</v>
      </c>
      <c r="Q146" s="352"/>
      <c r="R146" s="239">
        <v>4046813</v>
      </c>
      <c r="S146" s="352"/>
      <c r="T146" s="491">
        <v>15974239</v>
      </c>
      <c r="U146" s="352"/>
      <c r="V146" s="239">
        <v>11660018</v>
      </c>
      <c r="W146" s="352"/>
      <c r="X146" s="239">
        <v>3495439</v>
      </c>
      <c r="Y146" s="352"/>
      <c r="Z146" s="239">
        <v>6347403</v>
      </c>
      <c r="AA146" s="352"/>
      <c r="AB146" s="239">
        <v>3540549</v>
      </c>
      <c r="AC146" s="352"/>
      <c r="AD146" s="239">
        <v>13016153</v>
      </c>
      <c r="AE146" s="352"/>
      <c r="AF146" s="239">
        <v>13804683</v>
      </c>
      <c r="AG146" s="352"/>
      <c r="AH146" s="239">
        <v>3004914</v>
      </c>
      <c r="AI146" s="352"/>
    </row>
    <row r="147" spans="2:35" ht="10.5" customHeight="1">
      <c r="B147" s="361" t="s">
        <v>537</v>
      </c>
      <c r="C147" s="243"/>
      <c r="D147" s="237">
        <f t="shared" si="4"/>
        <v>52388324</v>
      </c>
      <c r="E147" s="352"/>
      <c r="F147" s="239">
        <v>17420914</v>
      </c>
      <c r="G147" s="352"/>
      <c r="H147" s="239">
        <v>804786</v>
      </c>
      <c r="I147" s="352"/>
      <c r="J147" s="239">
        <v>898078</v>
      </c>
      <c r="K147" s="352"/>
      <c r="L147" s="239">
        <v>827288</v>
      </c>
      <c r="M147" s="352"/>
      <c r="N147" s="239">
        <v>2874059</v>
      </c>
      <c r="O147" s="352"/>
      <c r="P147" s="239">
        <v>4805941</v>
      </c>
      <c r="Q147" s="352"/>
      <c r="R147" s="239">
        <v>1321840</v>
      </c>
      <c r="S147" s="352"/>
      <c r="T147" s="491">
        <v>5700572</v>
      </c>
      <c r="U147" s="352"/>
      <c r="V147" s="239">
        <v>4024931</v>
      </c>
      <c r="W147" s="352"/>
      <c r="X147" s="239">
        <v>620276</v>
      </c>
      <c r="Y147" s="352"/>
      <c r="Z147" s="239">
        <v>2329868</v>
      </c>
      <c r="AA147" s="352"/>
      <c r="AB147" s="239">
        <v>1637364</v>
      </c>
      <c r="AC147" s="352"/>
      <c r="AD147" s="239">
        <v>3572418</v>
      </c>
      <c r="AE147" s="352"/>
      <c r="AF147" s="239">
        <v>5549989</v>
      </c>
      <c r="AG147" s="352"/>
      <c r="AH147" s="239"/>
      <c r="AI147" s="352"/>
    </row>
    <row r="148" spans="2:35">
      <c r="B148" s="361" t="s">
        <v>957</v>
      </c>
      <c r="C148" s="243"/>
      <c r="D148" s="237">
        <f t="shared" si="4"/>
        <v>2189132</v>
      </c>
      <c r="E148" s="352"/>
      <c r="F148" s="239">
        <v>760096</v>
      </c>
      <c r="G148" s="352"/>
      <c r="H148" s="239">
        <v>48405</v>
      </c>
      <c r="I148" s="352"/>
      <c r="J148" s="239">
        <v>50888</v>
      </c>
      <c r="K148" s="352"/>
      <c r="L148" s="239">
        <v>47403</v>
      </c>
      <c r="M148" s="352"/>
      <c r="N148" s="239">
        <v>124457</v>
      </c>
      <c r="O148" s="352"/>
      <c r="P148" s="239">
        <v>194590</v>
      </c>
      <c r="Q148" s="352"/>
      <c r="R148" s="239">
        <v>47116</v>
      </c>
      <c r="S148" s="352"/>
      <c r="T148" s="491">
        <v>224951</v>
      </c>
      <c r="U148" s="352"/>
      <c r="V148" s="239">
        <v>156403</v>
      </c>
      <c r="W148" s="352"/>
      <c r="X148" s="239">
        <v>36358</v>
      </c>
      <c r="Y148" s="352"/>
      <c r="Z148" s="239">
        <v>80437</v>
      </c>
      <c r="AA148" s="352"/>
      <c r="AB148" s="239">
        <v>58671</v>
      </c>
      <c r="AC148" s="352"/>
      <c r="AD148" s="239">
        <v>156627</v>
      </c>
      <c r="AE148" s="352"/>
      <c r="AF148" s="239">
        <v>202730</v>
      </c>
      <c r="AG148" s="352"/>
      <c r="AH148" s="239"/>
      <c r="AI148" s="352"/>
    </row>
    <row r="149" spans="2:35" ht="12" thickBot="1">
      <c r="B149" s="361" t="s">
        <v>958</v>
      </c>
      <c r="C149" s="243"/>
      <c r="D149" s="245">
        <f t="shared" si="4"/>
        <v>43989262</v>
      </c>
      <c r="E149" s="233">
        <f>+SUM(D144:D149)</f>
        <v>1701938032</v>
      </c>
      <c r="F149" s="355">
        <v>13745079</v>
      </c>
      <c r="G149" s="233">
        <f>+SUM(F144:F149)</f>
        <v>501644538</v>
      </c>
      <c r="H149" s="355">
        <v>3046278</v>
      </c>
      <c r="I149" s="233">
        <f>+SUM(H144:H149)</f>
        <v>39534748</v>
      </c>
      <c r="J149" s="355">
        <v>652223</v>
      </c>
      <c r="K149" s="233">
        <f>+SUM(J144:J149)</f>
        <v>18819266</v>
      </c>
      <c r="L149" s="355">
        <v>608003</v>
      </c>
      <c r="M149" s="233">
        <f>+SUM(L144:L149)</f>
        <v>28553277</v>
      </c>
      <c r="N149" s="355">
        <v>1598634</v>
      </c>
      <c r="O149" s="233">
        <f>+SUM(N144:N149)</f>
        <v>94560007</v>
      </c>
      <c r="P149" s="355">
        <v>2625240</v>
      </c>
      <c r="Q149" s="233">
        <f>+SUM(P144:P149)</f>
        <v>132842224</v>
      </c>
      <c r="R149" s="648">
        <v>815967</v>
      </c>
      <c r="S149" s="233">
        <f>+SUM(R144:R149)</f>
        <v>65893767</v>
      </c>
      <c r="T149" s="492">
        <v>7102466</v>
      </c>
      <c r="U149" s="233">
        <f>+SUM(T144:T149)</f>
        <v>144313115</v>
      </c>
      <c r="V149" s="355">
        <v>2629369</v>
      </c>
      <c r="W149" s="233">
        <f>+SUM(V144:V149)</f>
        <v>190334120</v>
      </c>
      <c r="X149" s="355">
        <v>665588</v>
      </c>
      <c r="Y149" s="233">
        <f>+SUM(X144:X149)</f>
        <v>14454441</v>
      </c>
      <c r="Z149" s="355">
        <v>2056381</v>
      </c>
      <c r="AA149" s="233">
        <f>+SUM(Z144:Z149)</f>
        <v>97177368</v>
      </c>
      <c r="AB149" s="355">
        <v>1242251</v>
      </c>
      <c r="AC149" s="233">
        <f>+SUM(AB144:AB149)</f>
        <v>54541538</v>
      </c>
      <c r="AD149" s="355">
        <v>3117626</v>
      </c>
      <c r="AE149" s="233">
        <f>+SUM(AD144:AD149)</f>
        <v>68656235</v>
      </c>
      <c r="AF149" s="355">
        <v>4084157</v>
      </c>
      <c r="AG149" s="233">
        <f>+SUM(AF144:AF149)</f>
        <v>244745414</v>
      </c>
      <c r="AH149" s="355"/>
      <c r="AI149" s="233">
        <f>+SUM(AH144:AH149)</f>
        <v>5867974</v>
      </c>
    </row>
    <row r="150" spans="2:35">
      <c r="B150" s="791"/>
      <c r="C150" s="243"/>
      <c r="D150" s="327"/>
      <c r="E150" s="352"/>
      <c r="F150" s="360"/>
      <c r="G150" s="352"/>
      <c r="H150" s="360"/>
      <c r="I150" s="352"/>
      <c r="J150" s="360"/>
      <c r="K150" s="352"/>
      <c r="L150" s="360"/>
      <c r="M150" s="352"/>
      <c r="N150" s="360"/>
      <c r="O150" s="352"/>
      <c r="P150" s="360"/>
      <c r="Q150" s="352"/>
      <c r="R150" s="360"/>
      <c r="S150" s="352"/>
      <c r="T150" s="360"/>
      <c r="U150" s="352"/>
      <c r="V150" s="239"/>
      <c r="W150" s="352"/>
      <c r="X150" s="360"/>
      <c r="Y150" s="352"/>
      <c r="Z150" s="360"/>
      <c r="AA150" s="352"/>
      <c r="AB150" s="360"/>
      <c r="AC150" s="352"/>
      <c r="AD150" s="360"/>
      <c r="AE150" s="352"/>
      <c r="AF150" s="360"/>
      <c r="AG150" s="352"/>
      <c r="AH150" s="360"/>
      <c r="AI150" s="352"/>
    </row>
    <row r="151" spans="2:35">
      <c r="B151" s="791" t="s">
        <v>887</v>
      </c>
      <c r="C151" s="243"/>
      <c r="D151" s="327"/>
      <c r="E151" s="233">
        <f>G151+I151+K151+M151+O151+Q151+S151+U151+W151+Y151+AA151+AC151+AE151+AG151+AI151</f>
        <v>0</v>
      </c>
      <c r="F151" s="360"/>
      <c r="G151" s="352"/>
      <c r="H151" s="360"/>
      <c r="I151" s="352"/>
      <c r="J151" s="360"/>
      <c r="K151" s="352"/>
      <c r="L151" s="360"/>
      <c r="M151" s="352"/>
      <c r="N151" s="360"/>
      <c r="O151" s="352"/>
      <c r="P151" s="360"/>
      <c r="Q151" s="352"/>
      <c r="R151" s="360"/>
      <c r="S151" s="352"/>
      <c r="T151" s="360"/>
      <c r="U151" s="352"/>
      <c r="V151" s="239"/>
      <c r="W151" s="352"/>
      <c r="X151" s="360"/>
      <c r="Y151" s="352"/>
      <c r="Z151" s="360"/>
      <c r="AA151" s="352"/>
      <c r="AB151" s="360"/>
      <c r="AC151" s="352"/>
      <c r="AD151" s="360"/>
      <c r="AE151" s="352"/>
      <c r="AF151" s="360"/>
      <c r="AG151" s="352"/>
      <c r="AH151" s="360"/>
      <c r="AI151" s="352"/>
    </row>
    <row r="152" spans="2:35">
      <c r="B152" s="327"/>
      <c r="C152" s="243"/>
      <c r="D152" s="327"/>
      <c r="E152" s="233"/>
      <c r="F152" s="360"/>
      <c r="G152" s="233"/>
      <c r="H152" s="360"/>
      <c r="I152" s="233"/>
      <c r="J152" s="360"/>
      <c r="K152" s="233"/>
      <c r="L152" s="360"/>
      <c r="M152" s="233"/>
      <c r="N152" s="360"/>
      <c r="O152" s="233"/>
      <c r="P152" s="360"/>
      <c r="Q152" s="233"/>
      <c r="R152" s="360"/>
      <c r="S152" s="233"/>
      <c r="T152" s="360"/>
      <c r="U152" s="233"/>
      <c r="V152" s="239"/>
      <c r="W152" s="233"/>
      <c r="X152" s="360"/>
      <c r="Y152" s="233"/>
      <c r="Z152" s="360"/>
      <c r="AA152" s="233"/>
      <c r="AB152" s="360"/>
      <c r="AC152" s="233"/>
      <c r="AD152" s="360"/>
      <c r="AE152" s="233"/>
      <c r="AF152" s="360"/>
      <c r="AG152" s="233"/>
      <c r="AH152" s="360"/>
      <c r="AI152" s="233"/>
    </row>
    <row r="153" spans="2:35" ht="12" thickBot="1">
      <c r="B153" s="665" t="s">
        <v>806</v>
      </c>
      <c r="C153" s="247"/>
      <c r="D153" s="235"/>
      <c r="E153" s="234">
        <f>SUM(E142:E152)</f>
        <v>1701938032</v>
      </c>
      <c r="F153" s="362"/>
      <c r="G153" s="234">
        <f>SUM(G142:G152)</f>
        <v>501644538</v>
      </c>
      <c r="H153" s="362"/>
      <c r="I153" s="234">
        <f>SUM(I142:I152)</f>
        <v>39534748</v>
      </c>
      <c r="J153" s="362"/>
      <c r="K153" s="234">
        <f>SUM(K142:K152)</f>
        <v>18819266</v>
      </c>
      <c r="L153" s="362"/>
      <c r="M153" s="234">
        <f>SUM(M142:M152)</f>
        <v>28553277</v>
      </c>
      <c r="N153" s="362"/>
      <c r="O153" s="234">
        <f>SUM(O142:O152)</f>
        <v>94560007</v>
      </c>
      <c r="P153" s="362"/>
      <c r="Q153" s="234">
        <f>SUM(Q142:Q152)</f>
        <v>132842224</v>
      </c>
      <c r="R153" s="362"/>
      <c r="S153" s="234">
        <f>SUM(S142:S152)</f>
        <v>65893767</v>
      </c>
      <c r="T153" s="362"/>
      <c r="U153" s="234">
        <f>SUM(U142:U152)</f>
        <v>144313115</v>
      </c>
      <c r="V153" s="363"/>
      <c r="W153" s="234">
        <f>SUM(W142:W152)</f>
        <v>190334120</v>
      </c>
      <c r="X153" s="362"/>
      <c r="Y153" s="234">
        <f>SUM(Y142:Y152)</f>
        <v>14454441</v>
      </c>
      <c r="Z153" s="362"/>
      <c r="AA153" s="234">
        <f>SUM(AA142:AA152)</f>
        <v>97177368</v>
      </c>
      <c r="AB153" s="362"/>
      <c r="AC153" s="234">
        <f>SUM(AC142:AC152)</f>
        <v>54541538</v>
      </c>
      <c r="AD153" s="362"/>
      <c r="AE153" s="234">
        <f>SUM(AE142:AE152)</f>
        <v>68656235</v>
      </c>
      <c r="AF153" s="362"/>
      <c r="AG153" s="234">
        <f>SUM(AG142:AG152)</f>
        <v>244745414</v>
      </c>
      <c r="AH153" s="362"/>
      <c r="AI153" s="234">
        <f>SUM(AI142:AI152)</f>
        <v>5867974</v>
      </c>
    </row>
    <row r="155" spans="2:35">
      <c r="B155" s="318" t="s">
        <v>889</v>
      </c>
    </row>
    <row r="157" spans="2:35">
      <c r="B157" s="318" t="s">
        <v>890</v>
      </c>
    </row>
    <row r="158" spans="2:35" ht="12" thickBot="1">
      <c r="G158" s="335" t="s">
        <v>247</v>
      </c>
    </row>
    <row r="159" spans="2:35" ht="12" thickBot="1">
      <c r="B159" s="334"/>
      <c r="C159" s="250"/>
      <c r="D159" s="1463" t="s">
        <v>860</v>
      </c>
      <c r="E159" s="1464"/>
      <c r="F159" s="1463" t="s">
        <v>17</v>
      </c>
      <c r="G159" s="1464"/>
      <c r="H159" s="1463" t="s">
        <v>18</v>
      </c>
      <c r="I159" s="1464"/>
      <c r="J159" s="1463" t="s">
        <v>19</v>
      </c>
      <c r="K159" s="1464"/>
      <c r="L159" s="1463" t="s">
        <v>20</v>
      </c>
      <c r="M159" s="1464"/>
      <c r="N159" s="1463" t="s">
        <v>21</v>
      </c>
      <c r="O159" s="1464"/>
      <c r="P159" s="1463" t="s">
        <v>22</v>
      </c>
      <c r="Q159" s="1464"/>
      <c r="R159" s="1463" t="s">
        <v>23</v>
      </c>
      <c r="S159" s="1464"/>
      <c r="T159" s="1463" t="s">
        <v>24</v>
      </c>
      <c r="U159" s="1464"/>
      <c r="V159" s="1463" t="s">
        <v>25</v>
      </c>
      <c r="W159" s="1464"/>
      <c r="X159" s="1463" t="s">
        <v>26</v>
      </c>
      <c r="Y159" s="1464"/>
      <c r="Z159" s="1463" t="s">
        <v>27</v>
      </c>
      <c r="AA159" s="1464"/>
      <c r="AB159" s="1463" t="s">
        <v>28</v>
      </c>
      <c r="AC159" s="1464"/>
      <c r="AD159" s="1463" t="s">
        <v>29</v>
      </c>
      <c r="AE159" s="1464"/>
      <c r="AF159" s="1463" t="s">
        <v>30</v>
      </c>
      <c r="AG159" s="1464"/>
      <c r="AH159" s="1463" t="s">
        <v>31</v>
      </c>
      <c r="AI159" s="1464"/>
    </row>
    <row r="160" spans="2:35">
      <c r="B160" s="791" t="s">
        <v>143</v>
      </c>
      <c r="C160" s="243"/>
      <c r="D160" s="351"/>
      <c r="E160" s="356"/>
      <c r="F160" s="357"/>
      <c r="G160" s="352"/>
      <c r="H160" s="357"/>
      <c r="I160" s="352"/>
      <c r="J160" s="357"/>
      <c r="K160" s="352"/>
      <c r="L160" s="357"/>
      <c r="M160" s="352"/>
      <c r="N160" s="357"/>
      <c r="O160" s="352"/>
      <c r="P160" s="357"/>
      <c r="Q160" s="352"/>
      <c r="R160" s="357"/>
      <c r="S160" s="352"/>
      <c r="T160" s="357"/>
      <c r="U160" s="352"/>
      <c r="V160" s="358"/>
      <c r="W160" s="352"/>
      <c r="X160" s="357"/>
      <c r="Y160" s="352"/>
      <c r="Z160" s="357"/>
      <c r="AA160" s="352"/>
      <c r="AB160" s="357"/>
      <c r="AC160" s="352"/>
      <c r="AD160" s="357"/>
      <c r="AE160" s="352"/>
      <c r="AF160" s="357"/>
      <c r="AG160" s="352"/>
      <c r="AH160" s="357"/>
      <c r="AI160" s="352"/>
    </row>
    <row r="161" spans="2:35">
      <c r="B161" s="791" t="s">
        <v>891</v>
      </c>
      <c r="C161" s="243"/>
      <c r="D161" s="327"/>
      <c r="E161" s="352"/>
      <c r="F161" s="360"/>
      <c r="G161" s="352"/>
      <c r="H161" s="360"/>
      <c r="I161" s="352"/>
      <c r="J161" s="360"/>
      <c r="K161" s="352"/>
      <c r="L161" s="360"/>
      <c r="M161" s="352"/>
      <c r="N161" s="360"/>
      <c r="O161" s="352"/>
      <c r="P161" s="360"/>
      <c r="Q161" s="352"/>
      <c r="R161" s="360"/>
      <c r="S161" s="352"/>
      <c r="T161" s="360"/>
      <c r="U161" s="352"/>
      <c r="V161" s="239"/>
      <c r="W161" s="352"/>
      <c r="X161" s="360"/>
      <c r="Y161" s="352"/>
      <c r="Z161" s="360"/>
      <c r="AA161" s="352"/>
      <c r="AB161" s="360"/>
      <c r="AC161" s="352"/>
      <c r="AD161" s="360"/>
      <c r="AE161" s="352"/>
      <c r="AF161" s="360"/>
      <c r="AG161" s="352"/>
      <c r="AH161" s="360"/>
      <c r="AI161" s="352"/>
    </row>
    <row r="162" spans="2:35" ht="31.5">
      <c r="B162" s="364" t="s">
        <v>144</v>
      </c>
      <c r="C162" s="243"/>
      <c r="D162" s="237">
        <f>F162+H162+J162+L162+N162+P162+R162+T162+V162+X162+Z162+AB162+AD162+AF162+AH162</f>
        <v>5708774161</v>
      </c>
      <c r="E162" s="352"/>
      <c r="F162" s="262">
        <v>5291079300</v>
      </c>
      <c r="G162" s="352"/>
      <c r="H162" s="239"/>
      <c r="I162" s="352"/>
      <c r="J162" s="237">
        <v>28267771</v>
      </c>
      <c r="K162" s="352"/>
      <c r="L162" s="237">
        <v>11797111</v>
      </c>
      <c r="M162" s="352"/>
      <c r="N162" s="237">
        <v>595</v>
      </c>
      <c r="O162" s="352"/>
      <c r="P162" s="237"/>
      <c r="Q162" s="352"/>
      <c r="R162" s="237">
        <v>400415</v>
      </c>
      <c r="S162" s="352"/>
      <c r="T162" s="237">
        <v>16044923</v>
      </c>
      <c r="U162" s="352"/>
      <c r="V162" s="237">
        <v>58741513</v>
      </c>
      <c r="W162" s="352"/>
      <c r="X162" s="237"/>
      <c r="Y162" s="352"/>
      <c r="Z162" s="237">
        <v>295540</v>
      </c>
      <c r="AA162" s="352"/>
      <c r="AB162" s="237"/>
      <c r="AC162" s="352"/>
      <c r="AD162" s="360"/>
      <c r="AE162" s="352"/>
      <c r="AF162" s="237">
        <v>302146993</v>
      </c>
      <c r="AG162" s="352"/>
      <c r="AH162" s="360"/>
      <c r="AI162" s="352"/>
    </row>
    <row r="163" spans="2:35" ht="12" thickBot="1">
      <c r="B163" s="364" t="s">
        <v>145</v>
      </c>
      <c r="C163" s="243"/>
      <c r="D163" s="245">
        <f>F163+H163+J163+L163+N163+P163+R163+T163+V163+X163+Z163+AB163+AD163+AF163+AH163</f>
        <v>9074140642</v>
      </c>
      <c r="E163" s="233">
        <f>+SUM(D162:D163)</f>
        <v>14782914803</v>
      </c>
      <c r="F163" s="355">
        <v>9073683894</v>
      </c>
      <c r="G163" s="233">
        <f>+SUM(F162:F163)</f>
        <v>14364763194</v>
      </c>
      <c r="H163" s="355"/>
      <c r="I163" s="233">
        <f>+SUM(H162:H163)</f>
        <v>0</v>
      </c>
      <c r="J163" s="355"/>
      <c r="K163" s="233">
        <f>+SUM(J162:J163)</f>
        <v>28267771</v>
      </c>
      <c r="L163" s="355"/>
      <c r="M163" s="233">
        <f>+SUM(L162:L163)</f>
        <v>11797111</v>
      </c>
      <c r="N163" s="355"/>
      <c r="O163" s="233">
        <f>+SUM(N162:N163)</f>
        <v>595</v>
      </c>
      <c r="P163" s="355"/>
      <c r="Q163" s="233">
        <f>+SUM(P162:P163)</f>
        <v>0</v>
      </c>
      <c r="R163" s="355"/>
      <c r="S163" s="233">
        <f>+SUM(R162:R163)</f>
        <v>400415</v>
      </c>
      <c r="T163" s="355"/>
      <c r="U163" s="233">
        <f>+SUM(T162:T163)</f>
        <v>16044923</v>
      </c>
      <c r="V163" s="355"/>
      <c r="W163" s="233">
        <f>+SUM(V162:V163)</f>
        <v>58741513</v>
      </c>
      <c r="X163" s="245">
        <v>456748</v>
      </c>
      <c r="Y163" s="233">
        <f>+SUM(X162:X163)</f>
        <v>456748</v>
      </c>
      <c r="Z163" s="355"/>
      <c r="AA163" s="233">
        <f>+SUM(Z162:Z163)</f>
        <v>295540</v>
      </c>
      <c r="AB163" s="355"/>
      <c r="AC163" s="233">
        <f>+SUM(AB162:AB163)</f>
        <v>0</v>
      </c>
      <c r="AD163" s="355"/>
      <c r="AE163" s="233">
        <f>+SUM(AD162:AD163)</f>
        <v>0</v>
      </c>
      <c r="AF163" s="355"/>
      <c r="AG163" s="233">
        <f>+SUM(AF162:AF163)</f>
        <v>302146993</v>
      </c>
      <c r="AH163" s="355"/>
      <c r="AI163" s="233">
        <f>+SUM(AH162:AH163)</f>
        <v>0</v>
      </c>
    </row>
    <row r="164" spans="2:35">
      <c r="B164" s="791"/>
      <c r="C164" s="243"/>
      <c r="D164" s="327"/>
      <c r="E164" s="352"/>
      <c r="F164" s="360"/>
      <c r="G164" s="352"/>
      <c r="H164" s="360"/>
      <c r="I164" s="352"/>
      <c r="J164" s="360"/>
      <c r="K164" s="352"/>
      <c r="L164" s="360"/>
      <c r="M164" s="352"/>
      <c r="N164" s="360"/>
      <c r="O164" s="352"/>
      <c r="P164" s="360"/>
      <c r="Q164" s="352"/>
      <c r="R164" s="360"/>
      <c r="S164" s="352"/>
      <c r="T164" s="360"/>
      <c r="U164" s="352"/>
      <c r="V164" s="239"/>
      <c r="W164" s="352"/>
      <c r="X164" s="360"/>
      <c r="Y164" s="352"/>
      <c r="Z164" s="360"/>
      <c r="AA164" s="352"/>
      <c r="AB164" s="360"/>
      <c r="AC164" s="352"/>
      <c r="AD164" s="360"/>
      <c r="AE164" s="352"/>
      <c r="AF164" s="360"/>
      <c r="AG164" s="352"/>
      <c r="AH164" s="360"/>
      <c r="AI164" s="352"/>
    </row>
    <row r="165" spans="2:35">
      <c r="B165" s="791" t="s">
        <v>887</v>
      </c>
      <c r="C165" s="243"/>
      <c r="D165" s="327"/>
      <c r="E165" s="233">
        <f>G165+G165+I165+K165+M165+O165+Q165+S165+U165+W165+Y165+AA165+AC165+AE165+AG165+AI165</f>
        <v>0</v>
      </c>
      <c r="F165" s="360"/>
      <c r="G165" s="352"/>
      <c r="H165" s="360"/>
      <c r="I165" s="233"/>
      <c r="J165" s="360"/>
      <c r="K165" s="352"/>
      <c r="L165" s="360"/>
      <c r="M165" s="352"/>
      <c r="N165" s="360"/>
      <c r="O165" s="352"/>
      <c r="P165" s="360"/>
      <c r="Q165" s="352"/>
      <c r="R165" s="360"/>
      <c r="S165" s="352"/>
      <c r="T165" s="360"/>
      <c r="U165" s="352"/>
      <c r="V165" s="239"/>
      <c r="W165" s="352"/>
      <c r="X165" s="360"/>
      <c r="Y165" s="233"/>
      <c r="Z165" s="360"/>
      <c r="AA165" s="352"/>
      <c r="AB165" s="360"/>
      <c r="AC165" s="352"/>
      <c r="AD165" s="360"/>
      <c r="AE165" s="352"/>
      <c r="AF165" s="360"/>
      <c r="AG165" s="352"/>
      <c r="AH165" s="360"/>
      <c r="AI165" s="352"/>
    </row>
    <row r="166" spans="2:35">
      <c r="B166" s="327"/>
      <c r="C166" s="243"/>
      <c r="D166" s="327"/>
      <c r="E166" s="233"/>
      <c r="F166" s="360"/>
      <c r="G166" s="233"/>
      <c r="H166" s="360"/>
      <c r="I166" s="233"/>
      <c r="J166" s="360"/>
      <c r="K166" s="233"/>
      <c r="L166" s="360"/>
      <c r="M166" s="233"/>
      <c r="N166" s="360"/>
      <c r="O166" s="233"/>
      <c r="P166" s="360"/>
      <c r="Q166" s="233"/>
      <c r="R166" s="360"/>
      <c r="S166" s="233"/>
      <c r="T166" s="360"/>
      <c r="U166" s="233"/>
      <c r="V166" s="239"/>
      <c r="W166" s="233"/>
      <c r="X166" s="360"/>
      <c r="Y166" s="233"/>
      <c r="Z166" s="360"/>
      <c r="AA166" s="233"/>
      <c r="AB166" s="360"/>
      <c r="AC166" s="233"/>
      <c r="AD166" s="360"/>
      <c r="AE166" s="233"/>
      <c r="AF166" s="360"/>
      <c r="AG166" s="233"/>
      <c r="AH166" s="360"/>
      <c r="AI166" s="233"/>
    </row>
    <row r="167" spans="2:35" ht="12" thickBot="1">
      <c r="B167" s="791"/>
      <c r="C167" s="243"/>
      <c r="D167" s="327"/>
      <c r="E167" s="233"/>
      <c r="F167" s="360"/>
      <c r="G167" s="233"/>
      <c r="H167" s="360"/>
      <c r="I167" s="233"/>
      <c r="J167" s="360"/>
      <c r="K167" s="233"/>
      <c r="L167" s="360"/>
      <c r="M167" s="233"/>
      <c r="N167" s="360"/>
      <c r="O167" s="233"/>
      <c r="P167" s="360"/>
      <c r="Q167" s="233"/>
      <c r="R167" s="360"/>
      <c r="S167" s="233"/>
      <c r="T167" s="360"/>
      <c r="U167" s="233"/>
      <c r="V167" s="239"/>
      <c r="W167" s="233"/>
      <c r="X167" s="360"/>
      <c r="Y167" s="233"/>
      <c r="Z167" s="360"/>
      <c r="AA167" s="233"/>
      <c r="AB167" s="360"/>
      <c r="AC167" s="233"/>
      <c r="AD167" s="360"/>
      <c r="AE167" s="233"/>
      <c r="AF167" s="360"/>
      <c r="AG167" s="233"/>
      <c r="AH167" s="360"/>
      <c r="AI167" s="233"/>
    </row>
    <row r="168" spans="2:35" ht="12" thickBot="1">
      <c r="B168" s="365" t="s">
        <v>806</v>
      </c>
      <c r="C168" s="274"/>
      <c r="D168" s="332"/>
      <c r="E168" s="324">
        <f>SUM(E161:E167)</f>
        <v>14782914803</v>
      </c>
      <c r="F168" s="366"/>
      <c r="G168" s="324">
        <f>SUM(G161:G167)</f>
        <v>14364763194</v>
      </c>
      <c r="H168" s="366"/>
      <c r="I168" s="324">
        <f>SUM(I161:I167)</f>
        <v>0</v>
      </c>
      <c r="J168" s="366"/>
      <c r="K168" s="324">
        <f>SUM(K161:K167)</f>
        <v>28267771</v>
      </c>
      <c r="L168" s="366"/>
      <c r="M168" s="324">
        <f>SUM(M161:M167)</f>
        <v>11797111</v>
      </c>
      <c r="N168" s="366"/>
      <c r="O168" s="324">
        <f>SUM(O161:O167)</f>
        <v>595</v>
      </c>
      <c r="P168" s="366"/>
      <c r="Q168" s="324">
        <f>SUM(Q161:Q167)</f>
        <v>0</v>
      </c>
      <c r="R168" s="366"/>
      <c r="S168" s="324">
        <f>SUM(S161:S167)</f>
        <v>400415</v>
      </c>
      <c r="T168" s="366"/>
      <c r="U168" s="324">
        <f>SUM(U161:U167)</f>
        <v>16044923</v>
      </c>
      <c r="V168" s="367"/>
      <c r="W168" s="324">
        <f>SUM(W161:W167)</f>
        <v>58741513</v>
      </c>
      <c r="X168" s="366"/>
      <c r="Y168" s="324">
        <f>SUM(Y161:Y167)</f>
        <v>456748</v>
      </c>
      <c r="Z168" s="366"/>
      <c r="AA168" s="324">
        <f>SUM(AA161:AA167)</f>
        <v>295540</v>
      </c>
      <c r="AB168" s="366"/>
      <c r="AC168" s="324">
        <f>SUM(AC161:AC167)</f>
        <v>0</v>
      </c>
      <c r="AD168" s="366"/>
      <c r="AE168" s="324">
        <f>SUM(AE161:AE167)</f>
        <v>0</v>
      </c>
      <c r="AF168" s="366"/>
      <c r="AG168" s="324">
        <f>SUM(AG161:AG167)</f>
        <v>302146993</v>
      </c>
      <c r="AH168" s="366"/>
      <c r="AI168" s="324">
        <f>SUM(AI161:AI167)</f>
        <v>0</v>
      </c>
    </row>
    <row r="170" spans="2:35" hidden="1">
      <c r="B170" s="1477" t="s">
        <v>873</v>
      </c>
      <c r="C170" s="1477"/>
      <c r="D170" s="1477"/>
      <c r="E170" s="1477"/>
      <c r="F170" s="1477"/>
      <c r="G170" s="1477"/>
    </row>
    <row r="171" spans="2:35" hidden="1"/>
    <row r="172" spans="2:35" hidden="1">
      <c r="B172" s="1477" t="s">
        <v>874</v>
      </c>
      <c r="C172" s="1477"/>
      <c r="D172" s="1477"/>
      <c r="E172" s="1477"/>
      <c r="F172" s="1477"/>
      <c r="G172" s="1477"/>
    </row>
    <row r="173" spans="2:35" hidden="1"/>
    <row r="174" spans="2:35">
      <c r="B174" s="318" t="s">
        <v>892</v>
      </c>
    </row>
    <row r="175" spans="2:35" ht="12" thickBot="1">
      <c r="G175" s="335" t="s">
        <v>247</v>
      </c>
    </row>
    <row r="176" spans="2:35" ht="12" thickBot="1">
      <c r="B176" s="334"/>
      <c r="C176" s="251"/>
      <c r="D176" s="1463" t="s">
        <v>860</v>
      </c>
      <c r="E176" s="1464"/>
      <c r="F176" s="1463" t="s">
        <v>17</v>
      </c>
      <c r="G176" s="1464"/>
      <c r="H176" s="1463" t="s">
        <v>18</v>
      </c>
      <c r="I176" s="1464"/>
      <c r="J176" s="1463" t="s">
        <v>19</v>
      </c>
      <c r="K176" s="1464"/>
      <c r="L176" s="1463" t="s">
        <v>20</v>
      </c>
      <c r="M176" s="1464"/>
      <c r="N176" s="1463" t="s">
        <v>21</v>
      </c>
      <c r="O176" s="1464"/>
      <c r="P176" s="1463" t="s">
        <v>22</v>
      </c>
      <c r="Q176" s="1464"/>
      <c r="R176" s="1463" t="s">
        <v>23</v>
      </c>
      <c r="S176" s="1464"/>
      <c r="T176" s="1463" t="s">
        <v>24</v>
      </c>
      <c r="U176" s="1464"/>
      <c r="V176" s="1463" t="s">
        <v>25</v>
      </c>
      <c r="W176" s="1464"/>
      <c r="X176" s="1463" t="s">
        <v>26</v>
      </c>
      <c r="Y176" s="1464"/>
      <c r="Z176" s="1463" t="s">
        <v>27</v>
      </c>
      <c r="AA176" s="1464"/>
      <c r="AB176" s="1463" t="s">
        <v>28</v>
      </c>
      <c r="AC176" s="1464"/>
      <c r="AD176" s="1463" t="s">
        <v>29</v>
      </c>
      <c r="AE176" s="1464"/>
      <c r="AF176" s="1463" t="s">
        <v>30</v>
      </c>
      <c r="AG176" s="1464"/>
      <c r="AH176" s="1463" t="s">
        <v>31</v>
      </c>
      <c r="AI176" s="1464"/>
    </row>
    <row r="177" spans="2:35">
      <c r="B177" s="791" t="s">
        <v>893</v>
      </c>
      <c r="C177" s="244"/>
      <c r="D177" s="351"/>
      <c r="E177" s="352"/>
      <c r="F177" s="351"/>
      <c r="G177" s="352"/>
      <c r="H177" s="351"/>
      <c r="I177" s="352"/>
      <c r="J177" s="351"/>
      <c r="K177" s="352"/>
      <c r="L177" s="351"/>
      <c r="M177" s="352"/>
      <c r="N177" s="351"/>
      <c r="O177" s="352"/>
      <c r="P177" s="351"/>
      <c r="Q177" s="352"/>
      <c r="R177" s="351"/>
      <c r="S177" s="352"/>
      <c r="T177" s="351"/>
      <c r="U177" s="352"/>
      <c r="V177" s="353"/>
      <c r="W177" s="352"/>
      <c r="X177" s="351"/>
      <c r="Y177" s="352"/>
      <c r="Z177" s="351"/>
      <c r="AA177" s="352"/>
      <c r="AB177" s="351"/>
      <c r="AC177" s="352"/>
      <c r="AD177" s="351"/>
      <c r="AE177" s="352"/>
      <c r="AF177" s="351"/>
      <c r="AG177" s="352"/>
      <c r="AH177" s="351"/>
      <c r="AI177" s="352"/>
    </row>
    <row r="178" spans="2:35">
      <c r="B178" s="327" t="s">
        <v>896</v>
      </c>
      <c r="C178" s="244"/>
      <c r="D178" s="237">
        <f>F178+H178+J178+L178+N178+P178+R178+T178+V178+X178+Z178+AB178+AD178+AF178+AH178</f>
        <v>23064739278</v>
      </c>
      <c r="E178" s="352"/>
      <c r="F178" s="354">
        <v>99946634</v>
      </c>
      <c r="G178" s="352"/>
      <c r="H178" s="354">
        <v>3306999</v>
      </c>
      <c r="I178" s="352"/>
      <c r="J178" s="488">
        <v>3128040261</v>
      </c>
      <c r="K178" s="352"/>
      <c r="L178" s="354">
        <f>220399539+3562471177</f>
        <v>3782870716</v>
      </c>
      <c r="M178" s="352"/>
      <c r="N178" s="354">
        <v>948498</v>
      </c>
      <c r="O178" s="352"/>
      <c r="P178" s="354">
        <v>1344650276</v>
      </c>
      <c r="Q178" s="352"/>
      <c r="R178" s="354">
        <v>11740362</v>
      </c>
      <c r="S178" s="352"/>
      <c r="T178" s="354">
        <v>6582087210</v>
      </c>
      <c r="U178" s="352"/>
      <c r="V178" s="354">
        <v>1943682112</v>
      </c>
      <c r="W178" s="352"/>
      <c r="X178" s="354">
        <v>56634</v>
      </c>
      <c r="Y178" s="352"/>
      <c r="Z178" s="354">
        <v>3624516215</v>
      </c>
      <c r="AA178" s="352"/>
      <c r="AB178" s="354">
        <v>24824577</v>
      </c>
      <c r="AC178" s="352"/>
      <c r="AD178" s="354">
        <f>123351365+600777111</f>
        <v>724128476</v>
      </c>
      <c r="AE178" s="352"/>
      <c r="AF178" s="354">
        <v>1793940308</v>
      </c>
      <c r="AG178" s="352"/>
      <c r="AH178" s="327"/>
      <c r="AI178" s="352"/>
    </row>
    <row r="179" spans="2:35" ht="12" thickBot="1">
      <c r="B179" s="327" t="s">
        <v>895</v>
      </c>
      <c r="C179" s="244"/>
      <c r="D179" s="245">
        <f>F179+H179+J179+L179+N179+P179+R179+T179+V179+X179+Z179+AB179+AD179+AF179+AH179</f>
        <v>0</v>
      </c>
      <c r="E179" s="233">
        <f>+SUM(D178:D179)</f>
        <v>23064739278</v>
      </c>
      <c r="F179" s="235"/>
      <c r="G179" s="233">
        <f>+SUM(F178:F179)</f>
        <v>99946634</v>
      </c>
      <c r="H179" s="235"/>
      <c r="I179" s="233">
        <f>+SUM(H178:H179)</f>
        <v>3306999</v>
      </c>
      <c r="J179" s="235"/>
      <c r="K179" s="233">
        <f>+SUM(J178:J179)</f>
        <v>3128040261</v>
      </c>
      <c r="L179" s="235"/>
      <c r="M179" s="233">
        <f>+SUM(L178:L179)</f>
        <v>3782870716</v>
      </c>
      <c r="N179" s="235"/>
      <c r="O179" s="233">
        <f>+SUM(N178:N179)</f>
        <v>948498</v>
      </c>
      <c r="P179" s="235"/>
      <c r="Q179" s="233">
        <f>+SUM(P178:P179)</f>
        <v>1344650276</v>
      </c>
      <c r="R179" s="235"/>
      <c r="S179" s="233">
        <f>+SUM(R178:R179)</f>
        <v>11740362</v>
      </c>
      <c r="T179" s="235"/>
      <c r="U179" s="233">
        <f>+SUM(T178:T179)</f>
        <v>6582087210</v>
      </c>
      <c r="V179" s="355"/>
      <c r="W179" s="233">
        <f>+SUM(V178:V179)</f>
        <v>1943682112</v>
      </c>
      <c r="X179" s="235"/>
      <c r="Y179" s="233">
        <f>+SUM(X178:X179)</f>
        <v>56634</v>
      </c>
      <c r="Z179" s="235"/>
      <c r="AA179" s="233">
        <f>+SUM(Z178:Z179)</f>
        <v>3624516215</v>
      </c>
      <c r="AB179" s="235"/>
      <c r="AC179" s="233">
        <f>+SUM(AB178:AB179)</f>
        <v>24824577</v>
      </c>
      <c r="AD179" s="235"/>
      <c r="AE179" s="233">
        <f>+SUM(AD178:AD179)</f>
        <v>724128476</v>
      </c>
      <c r="AF179" s="235"/>
      <c r="AG179" s="233">
        <f>+SUM(AF178:AF179)</f>
        <v>1793940308</v>
      </c>
      <c r="AH179" s="235"/>
      <c r="AI179" s="233">
        <f>+SUM(AH178:AH179)</f>
        <v>0</v>
      </c>
    </row>
    <row r="180" spans="2:35">
      <c r="B180" s="791" t="s">
        <v>894</v>
      </c>
      <c r="C180" s="244"/>
      <c r="D180" s="327"/>
      <c r="E180" s="233">
        <f>G180+I180+K180+M180+O180+Q180+S180+U180+W180+Y180+AA180+AC180+AE180+AG180+AI180</f>
        <v>3639308027</v>
      </c>
      <c r="F180" s="327"/>
      <c r="G180" s="233">
        <v>784766462</v>
      </c>
      <c r="H180" s="327"/>
      <c r="I180" s="233"/>
      <c r="J180" s="327"/>
      <c r="K180" s="233">
        <v>774618457</v>
      </c>
      <c r="L180" s="327"/>
      <c r="M180" s="233">
        <v>2079237598</v>
      </c>
      <c r="N180" s="327"/>
      <c r="O180" s="233"/>
      <c r="P180" s="327"/>
      <c r="Q180" s="233">
        <v>685510</v>
      </c>
      <c r="R180" s="327"/>
      <c r="S180" s="233"/>
      <c r="T180" s="327"/>
      <c r="U180" s="233"/>
      <c r="V180" s="354"/>
      <c r="W180" s="233"/>
      <c r="X180" s="327"/>
      <c r="Y180" s="233"/>
      <c r="Z180" s="327"/>
      <c r="AA180" s="233"/>
      <c r="AB180" s="327"/>
      <c r="AC180" s="233"/>
      <c r="AD180" s="327"/>
      <c r="AE180" s="233"/>
      <c r="AF180" s="327"/>
      <c r="AG180" s="233"/>
      <c r="AH180" s="327"/>
      <c r="AI180" s="233"/>
    </row>
    <row r="181" spans="2:35">
      <c r="B181" s="327"/>
      <c r="C181" s="244"/>
      <c r="D181" s="327"/>
      <c r="E181" s="233"/>
      <c r="F181" s="327"/>
      <c r="G181" s="233"/>
      <c r="H181" s="327"/>
      <c r="I181" s="233"/>
      <c r="J181" s="327"/>
      <c r="K181" s="233"/>
      <c r="L181" s="327"/>
      <c r="M181" s="233"/>
      <c r="N181" s="327"/>
      <c r="O181" s="233"/>
      <c r="P181" s="327"/>
      <c r="Q181" s="233"/>
      <c r="R181" s="327"/>
      <c r="S181" s="233"/>
      <c r="T181" s="327"/>
      <c r="U181" s="233"/>
      <c r="V181" s="354"/>
      <c r="W181" s="233"/>
      <c r="X181" s="327"/>
      <c r="Y181" s="233"/>
      <c r="Z181" s="327"/>
      <c r="AA181" s="233"/>
      <c r="AB181" s="327"/>
      <c r="AC181" s="233"/>
      <c r="AD181" s="327"/>
      <c r="AE181" s="233"/>
      <c r="AF181" s="327"/>
      <c r="AG181" s="233"/>
      <c r="AH181" s="327"/>
      <c r="AI181" s="233"/>
    </row>
    <row r="182" spans="2:35" ht="12" thickBot="1">
      <c r="B182" s="368" t="s">
        <v>806</v>
      </c>
      <c r="C182" s="369"/>
      <c r="D182" s="370"/>
      <c r="E182" s="234">
        <f>+E179+E180</f>
        <v>26704047305</v>
      </c>
      <c r="F182" s="370"/>
      <c r="G182" s="234">
        <f>+G179+G180</f>
        <v>884713096</v>
      </c>
      <c r="H182" s="370"/>
      <c r="I182" s="234">
        <f>+I179+I180</f>
        <v>3306999</v>
      </c>
      <c r="J182" s="370"/>
      <c r="K182" s="234">
        <f>+K179+K180</f>
        <v>3902658718</v>
      </c>
      <c r="L182" s="370"/>
      <c r="M182" s="234">
        <f>+M179+M180</f>
        <v>5862108314</v>
      </c>
      <c r="N182" s="370"/>
      <c r="O182" s="234">
        <f>+O179+O180</f>
        <v>948498</v>
      </c>
      <c r="P182" s="370"/>
      <c r="Q182" s="234">
        <f>+Q179+Q180</f>
        <v>1345335786</v>
      </c>
      <c r="R182" s="370"/>
      <c r="S182" s="234">
        <f>+S179+S180</f>
        <v>11740362</v>
      </c>
      <c r="T182" s="370"/>
      <c r="U182" s="234">
        <f>+U179+U180</f>
        <v>6582087210</v>
      </c>
      <c r="V182" s="371"/>
      <c r="W182" s="234">
        <f>+W179+W180</f>
        <v>1943682112</v>
      </c>
      <c r="X182" s="370"/>
      <c r="Y182" s="234">
        <f>+Y179+Y180</f>
        <v>56634</v>
      </c>
      <c r="Z182" s="370"/>
      <c r="AA182" s="234">
        <f>+AA179+AA180</f>
        <v>3624516215</v>
      </c>
      <c r="AB182" s="370"/>
      <c r="AC182" s="234">
        <f>+AC179+AC180</f>
        <v>24824577</v>
      </c>
      <c r="AD182" s="370"/>
      <c r="AE182" s="234">
        <f>+AE179+AE180</f>
        <v>724128476</v>
      </c>
      <c r="AF182" s="370"/>
      <c r="AG182" s="234">
        <f>+AG179+AG180</f>
        <v>1793940308</v>
      </c>
      <c r="AH182" s="370"/>
      <c r="AI182" s="234">
        <f>+AI179+AI180</f>
        <v>0</v>
      </c>
    </row>
    <row r="184" spans="2:35" ht="32.25" hidden="1" customHeight="1">
      <c r="B184" s="1475" t="s">
        <v>897</v>
      </c>
      <c r="C184" s="1475"/>
      <c r="D184" s="1475"/>
      <c r="E184" s="1475"/>
      <c r="F184" s="1475"/>
      <c r="G184" s="1475"/>
    </row>
    <row r="185" spans="2:35" hidden="1"/>
    <row r="186" spans="2:35" ht="22.5" hidden="1" customHeight="1">
      <c r="B186" s="1475" t="s">
        <v>898</v>
      </c>
      <c r="C186" s="1475"/>
      <c r="D186" s="1475"/>
      <c r="E186" s="1475"/>
      <c r="F186" s="1475"/>
      <c r="G186" s="1475"/>
    </row>
    <row r="187" spans="2:35" hidden="1"/>
    <row r="188" spans="2:35">
      <c r="B188" s="318" t="s">
        <v>899</v>
      </c>
    </row>
    <row r="189" spans="2:35" ht="12" thickBot="1">
      <c r="G189" s="335" t="s">
        <v>247</v>
      </c>
    </row>
    <row r="190" spans="2:35" ht="12" thickBot="1">
      <c r="B190" s="372" t="s">
        <v>77</v>
      </c>
      <c r="C190" s="251"/>
      <c r="D190" s="1463" t="s">
        <v>860</v>
      </c>
      <c r="E190" s="1464"/>
      <c r="F190" s="1473" t="s">
        <v>17</v>
      </c>
      <c r="G190" s="1474"/>
      <c r="H190" s="1463" t="s">
        <v>18</v>
      </c>
      <c r="I190" s="1464"/>
      <c r="J190" s="1463" t="s">
        <v>19</v>
      </c>
      <c r="K190" s="1464"/>
      <c r="L190" s="1463" t="s">
        <v>20</v>
      </c>
      <c r="M190" s="1464"/>
      <c r="N190" s="1463" t="s">
        <v>21</v>
      </c>
      <c r="O190" s="1464"/>
      <c r="P190" s="1463" t="s">
        <v>22</v>
      </c>
      <c r="Q190" s="1464"/>
      <c r="R190" s="1463" t="s">
        <v>23</v>
      </c>
      <c r="S190" s="1464"/>
      <c r="T190" s="1463" t="s">
        <v>24</v>
      </c>
      <c r="U190" s="1464"/>
      <c r="V190" s="1463" t="s">
        <v>25</v>
      </c>
      <c r="W190" s="1464"/>
      <c r="X190" s="1473" t="s">
        <v>26</v>
      </c>
      <c r="Y190" s="1474"/>
      <c r="Z190" s="1463" t="s">
        <v>27</v>
      </c>
      <c r="AA190" s="1464"/>
      <c r="AB190" s="1463" t="s">
        <v>28</v>
      </c>
      <c r="AC190" s="1464"/>
      <c r="AD190" s="1463" t="s">
        <v>29</v>
      </c>
      <c r="AE190" s="1464"/>
      <c r="AF190" s="1463" t="s">
        <v>30</v>
      </c>
      <c r="AG190" s="1464"/>
      <c r="AH190" s="1463" t="s">
        <v>31</v>
      </c>
      <c r="AI190" s="1464"/>
    </row>
    <row r="191" spans="2:35" ht="24.75" customHeight="1">
      <c r="B191" s="364" t="s">
        <v>148</v>
      </c>
      <c r="C191" s="243"/>
      <c r="D191" s="351"/>
      <c r="E191" s="394">
        <f>G191+I191+K191+M191+O191+Q191+S191+U191+W191+Y191+AA191+AC191+AE191+AG191+AI191</f>
        <v>161116715</v>
      </c>
      <c r="F191" s="351"/>
      <c r="G191" s="506">
        <v>118850083</v>
      </c>
      <c r="H191" s="357"/>
      <c r="I191" s="233"/>
      <c r="J191" s="351"/>
      <c r="K191" s="233"/>
      <c r="L191" s="351"/>
      <c r="M191" s="396">
        <v>34576</v>
      </c>
      <c r="N191" s="353"/>
      <c r="O191" s="233"/>
      <c r="P191" s="351"/>
      <c r="Q191" s="396">
        <v>2675029</v>
      </c>
      <c r="R191" s="351"/>
      <c r="S191" s="485"/>
      <c r="T191" s="351"/>
      <c r="U191" s="233">
        <v>31409413</v>
      </c>
      <c r="V191" s="353"/>
      <c r="W191" s="239"/>
      <c r="X191" s="351"/>
      <c r="Y191" s="507"/>
      <c r="Z191" s="357"/>
      <c r="AA191" s="396">
        <v>37007</v>
      </c>
      <c r="AB191" s="353"/>
      <c r="AC191" s="233"/>
      <c r="AD191" s="351"/>
      <c r="AE191" s="352"/>
      <c r="AF191" s="353"/>
      <c r="AG191" s="233">
        <v>8110607</v>
      </c>
      <c r="AH191" s="351"/>
      <c r="AI191" s="352"/>
    </row>
    <row r="192" spans="2:35" ht="21.75">
      <c r="B192" s="364" t="s">
        <v>149</v>
      </c>
      <c r="C192" s="243"/>
      <c r="D192" s="327"/>
      <c r="E192" s="239">
        <f>G192+I192+K192+M192+O192+Q192+S192+U192+W192+Y192+AA192+AC192+AE192+AG192+AI192</f>
        <v>156204</v>
      </c>
      <c r="F192" s="327"/>
      <c r="G192" s="485"/>
      <c r="H192" s="360"/>
      <c r="I192" s="352"/>
      <c r="J192" s="327"/>
      <c r="K192" s="233"/>
      <c r="L192" s="327"/>
      <c r="M192" s="233"/>
      <c r="N192" s="354"/>
      <c r="O192" s="233"/>
      <c r="P192" s="327"/>
      <c r="Q192" s="233"/>
      <c r="R192" s="327"/>
      <c r="S192" s="352"/>
      <c r="T192" s="327"/>
      <c r="U192" s="233"/>
      <c r="V192" s="354"/>
      <c r="W192" s="239">
        <v>156204</v>
      </c>
      <c r="X192" s="327"/>
      <c r="Y192" s="233"/>
      <c r="Z192" s="360"/>
      <c r="AA192" s="233"/>
      <c r="AB192" s="354"/>
      <c r="AC192" s="233"/>
      <c r="AD192" s="327"/>
      <c r="AE192" s="352"/>
      <c r="AF192" s="354"/>
      <c r="AG192" s="233"/>
      <c r="AH192" s="327"/>
      <c r="AI192" s="352"/>
    </row>
    <row r="193" spans="2:35">
      <c r="B193" s="364" t="s">
        <v>150</v>
      </c>
      <c r="C193" s="243"/>
      <c r="D193" s="327"/>
      <c r="E193" s="239">
        <f>G193+I193+K193+M193+O193+Q193+S193+U193+W193+Y193+AA193+AC193+AE193+AG193+AI193</f>
        <v>54400</v>
      </c>
      <c r="F193" s="327"/>
      <c r="G193" s="485">
        <v>54400</v>
      </c>
      <c r="H193" s="360"/>
      <c r="I193" s="352"/>
      <c r="J193" s="327"/>
      <c r="K193" s="233"/>
      <c r="L193" s="327"/>
      <c r="M193" s="233"/>
      <c r="N193" s="354"/>
      <c r="O193" s="233"/>
      <c r="P193" s="327"/>
      <c r="Q193" s="233"/>
      <c r="R193" s="327"/>
      <c r="S193" s="352"/>
      <c r="T193" s="327"/>
      <c r="U193" s="233"/>
      <c r="V193" s="354"/>
      <c r="W193" s="239"/>
      <c r="X193" s="327"/>
      <c r="Y193" s="352"/>
      <c r="Z193" s="360"/>
      <c r="AA193" s="233"/>
      <c r="AB193" s="354"/>
      <c r="AC193" s="233"/>
      <c r="AD193" s="327"/>
      <c r="AE193" s="352"/>
      <c r="AF193" s="354"/>
      <c r="AG193" s="233"/>
      <c r="AH193" s="327"/>
      <c r="AI193" s="352"/>
    </row>
    <row r="194" spans="2:35">
      <c r="B194" s="364" t="s">
        <v>153</v>
      </c>
      <c r="C194" s="243"/>
      <c r="D194" s="327"/>
      <c r="E194" s="239">
        <f>G194+I194+K194+M194+O194+Q194+S194+U194+W194+Y194+AA194+AC194+AE194+AG194+AI194</f>
        <v>0</v>
      </c>
      <c r="F194" s="327"/>
      <c r="G194" s="485"/>
      <c r="H194" s="360"/>
      <c r="I194" s="352"/>
      <c r="J194" s="327"/>
      <c r="K194" s="233"/>
      <c r="L194" s="327"/>
      <c r="M194" s="233"/>
      <c r="N194" s="354"/>
      <c r="O194" s="233"/>
      <c r="P194" s="327"/>
      <c r="Q194" s="233"/>
      <c r="R194" s="327"/>
      <c r="S194" s="352"/>
      <c r="T194" s="327"/>
      <c r="U194" s="233"/>
      <c r="V194" s="354"/>
      <c r="W194" s="239"/>
      <c r="X194" s="327"/>
      <c r="Y194" s="352"/>
      <c r="Z194" s="360"/>
      <c r="AA194" s="233"/>
      <c r="AB194" s="354"/>
      <c r="AC194" s="233"/>
      <c r="AD194" s="327"/>
      <c r="AE194" s="352"/>
      <c r="AF194" s="354"/>
      <c r="AG194" s="233"/>
      <c r="AH194" s="327"/>
      <c r="AI194" s="352"/>
    </row>
    <row r="195" spans="2:35">
      <c r="B195" s="1438" t="s">
        <v>966</v>
      </c>
      <c r="C195" s="1439"/>
      <c r="D195" s="237">
        <f>F195+H195+J195+L195+N195+P195+R195+T195+V195+X195+Z195+AB195+AD195+AF195+AH195</f>
        <v>119290591</v>
      </c>
      <c r="E195" s="239"/>
      <c r="F195" s="720">
        <v>62469484</v>
      </c>
      <c r="G195" s="485"/>
      <c r="H195" s="239">
        <v>793171</v>
      </c>
      <c r="I195" s="352"/>
      <c r="J195" s="354">
        <v>1914805</v>
      </c>
      <c r="K195" s="233"/>
      <c r="L195" s="354"/>
      <c r="M195" s="233"/>
      <c r="N195" s="354">
        <v>308274</v>
      </c>
      <c r="O195" s="233"/>
      <c r="P195" s="354">
        <v>30516388</v>
      </c>
      <c r="Q195" s="233"/>
      <c r="R195" s="354">
        <v>237010</v>
      </c>
      <c r="S195" s="352"/>
      <c r="T195" s="354">
        <v>14272082</v>
      </c>
      <c r="U195" s="233"/>
      <c r="V195" s="354">
        <v>1939363</v>
      </c>
      <c r="W195" s="239"/>
      <c r="X195" s="354">
        <v>332217</v>
      </c>
      <c r="Y195" s="352"/>
      <c r="Z195" s="239"/>
      <c r="AA195" s="233"/>
      <c r="AB195" s="354">
        <v>27646</v>
      </c>
      <c r="AC195" s="233"/>
      <c r="AD195" s="354">
        <v>5515211</v>
      </c>
      <c r="AE195" s="352"/>
      <c r="AF195" s="354">
        <v>964940</v>
      </c>
      <c r="AG195" s="233"/>
      <c r="AH195" s="327"/>
      <c r="AI195" s="352"/>
    </row>
    <row r="196" spans="2:35">
      <c r="B196" s="1438" t="s">
        <v>965</v>
      </c>
      <c r="C196" s="1439"/>
      <c r="D196" s="237">
        <f t="shared" ref="D196:D208" si="5">F196+H196+J196+L196+N196+P196+R196+T196+V196+X196+Z196+AB196+AD196+AF196+AH196</f>
        <v>997794478</v>
      </c>
      <c r="E196" s="239"/>
      <c r="F196" s="720"/>
      <c r="G196" s="485"/>
      <c r="H196" s="239"/>
      <c r="I196" s="352"/>
      <c r="J196" s="354">
        <v>13147008</v>
      </c>
      <c r="K196" s="233"/>
      <c r="L196" s="354">
        <v>339781358</v>
      </c>
      <c r="M196" s="233"/>
      <c r="N196" s="354"/>
      <c r="O196" s="233"/>
      <c r="P196" s="354">
        <v>142462313</v>
      </c>
      <c r="Q196" s="233"/>
      <c r="R196" s="354">
        <v>7150743</v>
      </c>
      <c r="S196" s="352"/>
      <c r="T196" s="354">
        <v>187224615</v>
      </c>
      <c r="U196" s="233"/>
      <c r="V196" s="354"/>
      <c r="W196" s="239"/>
      <c r="X196" s="327"/>
      <c r="Y196" s="233"/>
      <c r="Z196" s="239">
        <v>1806066</v>
      </c>
      <c r="AA196" s="233"/>
      <c r="AB196" s="354"/>
      <c r="AC196" s="233"/>
      <c r="AD196" s="354">
        <v>234544487</v>
      </c>
      <c r="AE196" s="352"/>
      <c r="AF196" s="354">
        <v>71677888</v>
      </c>
      <c r="AG196" s="233"/>
      <c r="AH196" s="327"/>
      <c r="AI196" s="352"/>
    </row>
    <row r="197" spans="2:35">
      <c r="B197" s="781" t="s">
        <v>964</v>
      </c>
      <c r="C197" s="782"/>
      <c r="D197" s="237">
        <f t="shared" si="5"/>
        <v>69115</v>
      </c>
      <c r="E197" s="239"/>
      <c r="F197" s="720">
        <v>69115</v>
      </c>
      <c r="G197" s="485"/>
      <c r="H197" s="239"/>
      <c r="I197" s="352"/>
      <c r="J197" s="354"/>
      <c r="K197" s="233"/>
      <c r="L197" s="354"/>
      <c r="M197" s="233"/>
      <c r="N197" s="354"/>
      <c r="O197" s="233"/>
      <c r="P197" s="354"/>
      <c r="Q197" s="233"/>
      <c r="R197" s="354"/>
      <c r="S197" s="352"/>
      <c r="T197" s="354"/>
      <c r="U197" s="233"/>
      <c r="V197" s="354"/>
      <c r="W197" s="239"/>
      <c r="X197" s="327"/>
      <c r="Y197" s="233"/>
      <c r="Z197" s="239"/>
      <c r="AA197" s="233"/>
      <c r="AB197" s="354"/>
      <c r="AC197" s="233"/>
      <c r="AD197" s="354">
        <v>0</v>
      </c>
      <c r="AE197" s="352"/>
      <c r="AF197" s="354"/>
      <c r="AG197" s="233"/>
      <c r="AH197" s="327"/>
      <c r="AI197" s="352"/>
    </row>
    <row r="198" spans="2:35">
      <c r="B198" s="1438" t="s">
        <v>963</v>
      </c>
      <c r="C198" s="1439"/>
      <c r="D198" s="237">
        <f t="shared" si="5"/>
        <v>39008812</v>
      </c>
      <c r="E198" s="239"/>
      <c r="F198" s="720"/>
      <c r="G198" s="485"/>
      <c r="H198" s="239"/>
      <c r="I198" s="352"/>
      <c r="J198" s="354">
        <v>1327713</v>
      </c>
      <c r="K198" s="233"/>
      <c r="L198" s="354"/>
      <c r="M198" s="233"/>
      <c r="N198" s="354"/>
      <c r="O198" s="233"/>
      <c r="P198" s="354"/>
      <c r="Q198" s="233"/>
      <c r="R198" s="354">
        <v>240792</v>
      </c>
      <c r="S198" s="352"/>
      <c r="T198" s="354">
        <v>16832209</v>
      </c>
      <c r="U198" s="233"/>
      <c r="V198" s="354"/>
      <c r="W198" s="239"/>
      <c r="X198" s="327"/>
      <c r="Y198" s="233"/>
      <c r="Z198" s="239">
        <v>14575147</v>
      </c>
      <c r="AA198" s="233"/>
      <c r="AB198" s="354"/>
      <c r="AC198" s="233"/>
      <c r="AD198" s="354">
        <v>0</v>
      </c>
      <c r="AE198" s="352"/>
      <c r="AF198" s="354">
        <v>6032951</v>
      </c>
      <c r="AG198" s="233"/>
      <c r="AH198" s="327"/>
      <c r="AI198" s="352"/>
    </row>
    <row r="199" spans="2:35">
      <c r="B199" s="1438" t="s">
        <v>962</v>
      </c>
      <c r="C199" s="1439"/>
      <c r="D199" s="237">
        <f t="shared" si="5"/>
        <v>84742573</v>
      </c>
      <c r="E199" s="239"/>
      <c r="F199" s="720"/>
      <c r="G199" s="485"/>
      <c r="H199" s="239"/>
      <c r="I199" s="352"/>
      <c r="J199" s="354">
        <v>186981</v>
      </c>
      <c r="K199" s="233"/>
      <c r="L199" s="354"/>
      <c r="M199" s="233"/>
      <c r="N199" s="354"/>
      <c r="O199" s="233"/>
      <c r="P199" s="354"/>
      <c r="Q199" s="233"/>
      <c r="R199" s="354">
        <v>496737</v>
      </c>
      <c r="S199" s="352"/>
      <c r="T199" s="354">
        <v>25701876</v>
      </c>
      <c r="U199" s="233"/>
      <c r="V199" s="354"/>
      <c r="W199" s="239"/>
      <c r="X199" s="327"/>
      <c r="Y199" s="233"/>
      <c r="Z199" s="239">
        <v>56321067</v>
      </c>
      <c r="AA199" s="233"/>
      <c r="AB199" s="354"/>
      <c r="AC199" s="233"/>
      <c r="AD199" s="354">
        <v>0</v>
      </c>
      <c r="AE199" s="352"/>
      <c r="AF199" s="354">
        <v>2035912</v>
      </c>
      <c r="AG199" s="233"/>
      <c r="AH199" s="327"/>
      <c r="AI199" s="352"/>
    </row>
    <row r="200" spans="2:35">
      <c r="B200" s="1438" t="s">
        <v>961</v>
      </c>
      <c r="C200" s="1439"/>
      <c r="D200" s="237">
        <f t="shared" si="5"/>
        <v>554584170</v>
      </c>
      <c r="E200" s="239"/>
      <c r="F200" s="720"/>
      <c r="G200" s="485"/>
      <c r="H200" s="239">
        <v>10517063</v>
      </c>
      <c r="I200" s="352"/>
      <c r="J200" s="354"/>
      <c r="K200" s="233"/>
      <c r="L200" s="354"/>
      <c r="M200" s="233"/>
      <c r="N200" s="354"/>
      <c r="O200" s="233"/>
      <c r="P200" s="354"/>
      <c r="Q200" s="233"/>
      <c r="R200" s="354"/>
      <c r="S200" s="352"/>
      <c r="T200" s="354">
        <v>114804706</v>
      </c>
      <c r="U200" s="233"/>
      <c r="V200" s="354">
        <v>331352984</v>
      </c>
      <c r="W200" s="239"/>
      <c r="X200" s="354">
        <v>19207710</v>
      </c>
      <c r="Y200" s="233"/>
      <c r="Z200" s="239">
        <v>17534775</v>
      </c>
      <c r="AA200" s="233"/>
      <c r="AB200" s="354">
        <v>7756029</v>
      </c>
      <c r="AC200" s="233"/>
      <c r="AD200" s="354">
        <v>53410903</v>
      </c>
      <c r="AE200" s="352"/>
      <c r="AF200" s="354"/>
      <c r="AG200" s="233"/>
      <c r="AH200" s="327"/>
      <c r="AI200" s="352"/>
    </row>
    <row r="201" spans="2:35">
      <c r="B201" s="1438" t="s">
        <v>960</v>
      </c>
      <c r="C201" s="1439"/>
      <c r="D201" s="237">
        <f t="shared" si="5"/>
        <v>244393907</v>
      </c>
      <c r="E201" s="239"/>
      <c r="F201" s="720">
        <v>7413506</v>
      </c>
      <c r="G201" s="485"/>
      <c r="H201" s="239">
        <v>2640000</v>
      </c>
      <c r="I201" s="352"/>
      <c r="J201" s="354">
        <v>2372581</v>
      </c>
      <c r="K201" s="233"/>
      <c r="L201" s="354">
        <v>690000</v>
      </c>
      <c r="M201" s="233"/>
      <c r="N201" s="354">
        <v>1398188</v>
      </c>
      <c r="O201" s="233"/>
      <c r="P201" s="354">
        <v>32451709</v>
      </c>
      <c r="Q201" s="233"/>
      <c r="R201" s="354">
        <v>8093588</v>
      </c>
      <c r="S201" s="352"/>
      <c r="T201" s="354">
        <v>28735490</v>
      </c>
      <c r="U201" s="233"/>
      <c r="V201" s="354">
        <v>50767653</v>
      </c>
      <c r="W201" s="239"/>
      <c r="X201" s="354">
        <v>66034394</v>
      </c>
      <c r="Y201" s="233"/>
      <c r="Z201" s="239">
        <v>5108037</v>
      </c>
      <c r="AA201" s="233"/>
      <c r="AB201" s="354">
        <v>6503000</v>
      </c>
      <c r="AC201" s="233"/>
      <c r="AD201" s="354">
        <v>25989699</v>
      </c>
      <c r="AE201" s="352"/>
      <c r="AF201" s="354">
        <v>6196062</v>
      </c>
      <c r="AG201" s="233"/>
      <c r="AH201" s="327"/>
      <c r="AI201" s="352"/>
    </row>
    <row r="202" spans="2:35">
      <c r="B202" s="1438" t="s">
        <v>959</v>
      </c>
      <c r="C202" s="1439"/>
      <c r="D202" s="237">
        <f t="shared" si="5"/>
        <v>1065737862</v>
      </c>
      <c r="E202" s="239"/>
      <c r="F202" s="720">
        <v>71191523</v>
      </c>
      <c r="G202" s="485"/>
      <c r="H202" s="239">
        <v>5668804</v>
      </c>
      <c r="I202" s="352"/>
      <c r="J202" s="354">
        <v>38222823</v>
      </c>
      <c r="K202" s="233"/>
      <c r="L202" s="354">
        <v>271080841</v>
      </c>
      <c r="M202" s="233"/>
      <c r="N202" s="354">
        <v>63454</v>
      </c>
      <c r="O202" s="233"/>
      <c r="P202" s="354">
        <v>87057544</v>
      </c>
      <c r="Q202" s="233"/>
      <c r="R202" s="354">
        <v>1241731</v>
      </c>
      <c r="S202" s="352"/>
      <c r="T202" s="354">
        <v>126901585</v>
      </c>
      <c r="U202" s="233"/>
      <c r="V202" s="354">
        <v>104593454</v>
      </c>
      <c r="W202" s="239"/>
      <c r="X202" s="354">
        <v>217077</v>
      </c>
      <c r="Y202" s="233"/>
      <c r="Z202" s="239">
        <v>125259725</v>
      </c>
      <c r="AA202" s="233"/>
      <c r="AB202" s="354">
        <v>16462956</v>
      </c>
      <c r="AC202" s="233"/>
      <c r="AD202" s="354">
        <v>21076331</v>
      </c>
      <c r="AE202" s="352"/>
      <c r="AF202" s="354">
        <v>196700014</v>
      </c>
      <c r="AG202" s="233"/>
      <c r="AH202" s="327"/>
      <c r="AI202" s="352"/>
    </row>
    <row r="203" spans="2:35">
      <c r="B203" s="781" t="s">
        <v>967</v>
      </c>
      <c r="C203" s="782"/>
      <c r="D203" s="237">
        <f t="shared" si="5"/>
        <v>9723333</v>
      </c>
      <c r="E203" s="239"/>
      <c r="F203" s="720">
        <v>2733565</v>
      </c>
      <c r="G203" s="485"/>
      <c r="H203" s="239">
        <v>780039</v>
      </c>
      <c r="I203" s="352"/>
      <c r="J203" s="354"/>
      <c r="K203" s="233"/>
      <c r="L203" s="354">
        <v>801245</v>
      </c>
      <c r="M203" s="233"/>
      <c r="N203" s="354">
        <v>2046744</v>
      </c>
      <c r="O203" s="233"/>
      <c r="P203" s="354">
        <v>183889</v>
      </c>
      <c r="Q203" s="233"/>
      <c r="R203" s="354">
        <v>44167</v>
      </c>
      <c r="S203" s="352"/>
      <c r="T203" s="354">
        <v>582238</v>
      </c>
      <c r="U203" s="233"/>
      <c r="V203" s="354">
        <v>45875</v>
      </c>
      <c r="W203" s="239"/>
      <c r="X203" s="354"/>
      <c r="Y203" s="233"/>
      <c r="Z203" s="239">
        <v>2338821</v>
      </c>
      <c r="AA203" s="233"/>
      <c r="AB203" s="354">
        <v>0</v>
      </c>
      <c r="AC203" s="233"/>
      <c r="AD203" s="354">
        <v>70756</v>
      </c>
      <c r="AE203" s="352"/>
      <c r="AF203" s="354">
        <v>60406</v>
      </c>
      <c r="AG203" s="233"/>
      <c r="AH203" s="354">
        <v>35588</v>
      </c>
      <c r="AI203" s="352"/>
    </row>
    <row r="204" spans="2:35">
      <c r="B204" s="1438" t="s">
        <v>968</v>
      </c>
      <c r="C204" s="1439"/>
      <c r="D204" s="237">
        <f t="shared" si="5"/>
        <v>194689449</v>
      </c>
      <c r="E204" s="239"/>
      <c r="F204" s="720">
        <v>39847553</v>
      </c>
      <c r="G204" s="485"/>
      <c r="H204" s="239">
        <v>2290190</v>
      </c>
      <c r="I204" s="352"/>
      <c r="J204" s="354">
        <v>292421</v>
      </c>
      <c r="K204" s="233"/>
      <c r="L204" s="354">
        <v>1640674</v>
      </c>
      <c r="M204" s="233"/>
      <c r="N204" s="354">
        <v>350000</v>
      </c>
      <c r="O204" s="233"/>
      <c r="P204" s="354">
        <v>3688029</v>
      </c>
      <c r="Q204" s="233"/>
      <c r="R204" s="354">
        <v>2474493</v>
      </c>
      <c r="S204" s="352"/>
      <c r="T204" s="354">
        <v>5521789</v>
      </c>
      <c r="U204" s="233"/>
      <c r="V204" s="354">
        <v>4548213</v>
      </c>
      <c r="W204" s="239"/>
      <c r="X204" s="354">
        <v>810241</v>
      </c>
      <c r="Y204" s="233"/>
      <c r="Z204" s="239">
        <v>3980676</v>
      </c>
      <c r="AA204" s="233"/>
      <c r="AB204" s="354">
        <v>1468693</v>
      </c>
      <c r="AC204" s="233"/>
      <c r="AD204" s="354">
        <v>93878287</v>
      </c>
      <c r="AE204" s="352"/>
      <c r="AF204" s="354">
        <v>60097</v>
      </c>
      <c r="AG204" s="233"/>
      <c r="AH204" s="354">
        <v>33838093</v>
      </c>
      <c r="AI204" s="352"/>
    </row>
    <row r="205" spans="2:35">
      <c r="B205" s="1438" t="s">
        <v>969</v>
      </c>
      <c r="C205" s="1439"/>
      <c r="D205" s="237">
        <f t="shared" si="5"/>
        <v>0</v>
      </c>
      <c r="E205" s="239"/>
      <c r="F205" s="720">
        <v>-9208625949</v>
      </c>
      <c r="G205" s="485"/>
      <c r="H205" s="239">
        <v>436993182</v>
      </c>
      <c r="I205" s="352"/>
      <c r="J205" s="354">
        <v>-1102793418</v>
      </c>
      <c r="K205" s="233"/>
      <c r="L205" s="354">
        <v>1182371601</v>
      </c>
      <c r="M205" s="233"/>
      <c r="N205" s="354">
        <f>46971640+O994+1</f>
        <v>-34236394</v>
      </c>
      <c r="O205" s="233"/>
      <c r="P205" s="354">
        <v>3681937746</v>
      </c>
      <c r="Q205" s="233"/>
      <c r="R205" s="354">
        <v>-12040048</v>
      </c>
      <c r="S205" s="352"/>
      <c r="T205" s="354">
        <v>4682422887</v>
      </c>
      <c r="U205" s="233"/>
      <c r="V205" s="354">
        <f>-746749330-41889744</f>
        <v>-788639074</v>
      </c>
      <c r="W205" s="239"/>
      <c r="X205" s="354">
        <v>-10200374</v>
      </c>
      <c r="Y205" s="233"/>
      <c r="Z205" s="239">
        <v>126763231</v>
      </c>
      <c r="AA205" s="233"/>
      <c r="AB205" s="354">
        <v>-45525326</v>
      </c>
      <c r="AC205" s="233"/>
      <c r="AD205" s="354">
        <f>354574108+289592341</f>
        <v>644166449</v>
      </c>
      <c r="AE205" s="352"/>
      <c r="AF205" s="354">
        <v>486037566</v>
      </c>
      <c r="AG205" s="233"/>
      <c r="AH205" s="354">
        <v>-38632079</v>
      </c>
      <c r="AI205" s="352"/>
    </row>
    <row r="206" spans="2:35" ht="21.75" customHeight="1">
      <c r="B206" s="785" t="s">
        <v>970</v>
      </c>
      <c r="C206" s="782"/>
      <c r="D206" s="237">
        <f>F206+H206+J206+L206+N206+P206+R206+T206+V206+X206+Z206+AB206+AD206+AF206+AH206</f>
        <v>1435091252</v>
      </c>
      <c r="E206" s="239"/>
      <c r="F206" s="720"/>
      <c r="G206" s="485"/>
      <c r="H206" s="239"/>
      <c r="I206" s="352"/>
      <c r="J206" s="354"/>
      <c r="K206" s="233"/>
      <c r="L206" s="354"/>
      <c r="M206" s="233"/>
      <c r="N206" s="354"/>
      <c r="O206" s="233"/>
      <c r="P206" s="395">
        <v>41775078</v>
      </c>
      <c r="Q206" s="233"/>
      <c r="R206" s="354">
        <v>97150902</v>
      </c>
      <c r="S206" s="352"/>
      <c r="T206" s="354"/>
      <c r="U206" s="233"/>
      <c r="V206" s="395">
        <v>186102571</v>
      </c>
      <c r="W206" s="239"/>
      <c r="X206" s="354">
        <v>73735276</v>
      </c>
      <c r="Y206" s="233"/>
      <c r="Z206" s="394">
        <v>167221202</v>
      </c>
      <c r="AA206" s="233"/>
      <c r="AB206" s="354">
        <v>0</v>
      </c>
      <c r="AC206" s="233"/>
      <c r="AD206" s="395">
        <v>869106223</v>
      </c>
      <c r="AE206" s="352"/>
      <c r="AF206" s="354"/>
      <c r="AG206" s="233"/>
      <c r="AH206" s="354"/>
      <c r="AI206" s="352"/>
    </row>
    <row r="207" spans="2:35" ht="24.75" customHeight="1">
      <c r="B207" s="1485" t="s">
        <v>971</v>
      </c>
      <c r="C207" s="1486"/>
      <c r="D207" s="237">
        <f>F207+H207+J207+L207+N207+P207+R207+T207+V207+X207+Z207+AB207+AD207+AF207+AH207</f>
        <v>747496707</v>
      </c>
      <c r="E207" s="239"/>
      <c r="F207" s="720">
        <v>735950202</v>
      </c>
      <c r="G207" s="485"/>
      <c r="H207" s="239"/>
      <c r="I207" s="360"/>
      <c r="J207" s="354"/>
      <c r="K207" s="239"/>
      <c r="L207" s="395">
        <v>335514</v>
      </c>
      <c r="M207" s="239"/>
      <c r="N207" s="354"/>
      <c r="O207" s="239"/>
      <c r="P207" s="348"/>
      <c r="Q207" s="239"/>
      <c r="R207" s="354"/>
      <c r="S207" s="360"/>
      <c r="T207" s="354"/>
      <c r="U207" s="239"/>
      <c r="V207" s="354">
        <v>2048220</v>
      </c>
      <c r="W207" s="239"/>
      <c r="X207" s="354"/>
      <c r="Y207" s="233"/>
      <c r="Z207" s="239"/>
      <c r="AA207" s="239"/>
      <c r="AB207" s="354"/>
      <c r="AC207" s="239"/>
      <c r="AD207" s="354"/>
      <c r="AE207" s="360"/>
      <c r="AF207" s="354">
        <v>9162771</v>
      </c>
      <c r="AG207" s="239"/>
      <c r="AH207" s="354"/>
      <c r="AI207" s="352"/>
    </row>
    <row r="208" spans="2:35" ht="12" thickBot="1">
      <c r="B208" s="1438" t="s">
        <v>389</v>
      </c>
      <c r="C208" s="1439"/>
      <c r="D208" s="245">
        <f t="shared" si="5"/>
        <v>3340242313</v>
      </c>
      <c r="E208" s="239">
        <f>SUM(D195:D208)</f>
        <v>8832864562</v>
      </c>
      <c r="F208" s="492">
        <v>137178596</v>
      </c>
      <c r="G208" s="485">
        <f>SUM(F195:F208)</f>
        <v>-8151772405</v>
      </c>
      <c r="H208" s="355">
        <f>40795854+1</f>
        <v>40795855</v>
      </c>
      <c r="I208" s="239">
        <f>SUM(H195:H208)</f>
        <v>500478304</v>
      </c>
      <c r="J208" s="355">
        <f>49387464-3</f>
        <v>49387461</v>
      </c>
      <c r="K208" s="239">
        <f>SUM(J195:J208)</f>
        <v>-995941625</v>
      </c>
      <c r="L208" s="355">
        <f>244487583+1</f>
        <v>244487584</v>
      </c>
      <c r="M208" s="239">
        <f>SUM(L195:L208)</f>
        <v>2041188817</v>
      </c>
      <c r="N208" s="355">
        <v>854036</v>
      </c>
      <c r="O208" s="239">
        <f>SUM(N195:N208)</f>
        <v>-29215698</v>
      </c>
      <c r="P208" s="355">
        <f>641695582+327289-1</f>
        <v>642022870</v>
      </c>
      <c r="Q208" s="239">
        <f>SUM(P195:P208)</f>
        <v>4662095566</v>
      </c>
      <c r="R208" s="355">
        <v>4109496</v>
      </c>
      <c r="S208" s="239">
        <f>SUM(R195:R208)</f>
        <v>109199611</v>
      </c>
      <c r="T208" s="355">
        <v>1091061937</v>
      </c>
      <c r="U208" s="239">
        <f>SUM(T195:T208)</f>
        <v>6294061414</v>
      </c>
      <c r="V208" s="355">
        <f>1072868867-1+41889744</f>
        <v>1114758610</v>
      </c>
      <c r="W208" s="239">
        <f>SUM(V195:V208)</f>
        <v>1007517869</v>
      </c>
      <c r="X208" s="355">
        <v>1872000</v>
      </c>
      <c r="Y208" s="239">
        <f>SUM(X195:X208)</f>
        <v>152008541</v>
      </c>
      <c r="Z208" s="355">
        <f>31237-1</f>
        <v>31236</v>
      </c>
      <c r="AA208" s="239">
        <f>SUM(Z195:Z208)</f>
        <v>520939983</v>
      </c>
      <c r="AB208" s="355">
        <f>259468-1</f>
        <v>259467</v>
      </c>
      <c r="AC208" s="239">
        <f>SUM(AB195:AB208)</f>
        <v>-13047535</v>
      </c>
      <c r="AD208" s="355">
        <v>5014253</v>
      </c>
      <c r="AE208" s="239">
        <f>SUM(AD195:AD208)</f>
        <v>1952772599</v>
      </c>
      <c r="AF208" s="355">
        <f>8329473+1</f>
        <v>8329474</v>
      </c>
      <c r="AG208" s="239">
        <f>SUM(AF195:AF208)</f>
        <v>787258081</v>
      </c>
      <c r="AH208" s="355">
        <v>79438</v>
      </c>
      <c r="AI208" s="233">
        <f>SUM(AH195:AH208)</f>
        <v>-4678960</v>
      </c>
    </row>
    <row r="209" spans="2:35">
      <c r="B209" s="1438"/>
      <c r="C209" s="1439"/>
      <c r="D209" s="327"/>
      <c r="E209" s="239"/>
      <c r="F209" s="327"/>
      <c r="G209" s="485"/>
      <c r="H209" s="239"/>
      <c r="I209" s="352"/>
      <c r="J209" s="354"/>
      <c r="K209" s="233"/>
      <c r="L209" s="327"/>
      <c r="M209" s="233"/>
      <c r="N209" s="354"/>
      <c r="O209" s="233"/>
      <c r="P209" s="354"/>
      <c r="Q209" s="233"/>
      <c r="R209" s="327"/>
      <c r="S209" s="352"/>
      <c r="T209" s="354"/>
      <c r="U209" s="233"/>
      <c r="V209" s="354"/>
      <c r="W209" s="239"/>
      <c r="X209" s="327"/>
      <c r="Y209" s="233"/>
      <c r="Z209" s="360"/>
      <c r="AA209" s="233"/>
      <c r="AB209" s="354"/>
      <c r="AC209" s="233"/>
      <c r="AD209" s="354"/>
      <c r="AE209" s="352"/>
      <c r="AF209" s="354"/>
      <c r="AG209" s="233"/>
      <c r="AH209" s="354"/>
      <c r="AI209" s="352"/>
    </row>
    <row r="210" spans="2:35">
      <c r="B210" s="1438"/>
      <c r="C210" s="1439"/>
      <c r="D210" s="327"/>
      <c r="E210" s="239"/>
      <c r="F210" s="327"/>
      <c r="G210" s="485"/>
      <c r="H210" s="360"/>
      <c r="I210" s="233"/>
      <c r="J210" s="327"/>
      <c r="K210" s="233"/>
      <c r="L210" s="327"/>
      <c r="M210" s="233"/>
      <c r="N210" s="327"/>
      <c r="O210" s="233"/>
      <c r="P210" s="327"/>
      <c r="Q210" s="233"/>
      <c r="R210" s="327"/>
      <c r="S210" s="233"/>
      <c r="T210" s="327"/>
      <c r="U210" s="233"/>
      <c r="V210" s="354"/>
      <c r="W210" s="239"/>
      <c r="X210" s="327"/>
      <c r="Y210" s="508"/>
      <c r="Z210" s="360"/>
      <c r="AA210" s="233"/>
      <c r="AB210" s="354"/>
      <c r="AC210" s="233"/>
      <c r="AD210" s="327"/>
      <c r="AE210" s="233"/>
      <c r="AF210" s="354"/>
      <c r="AG210" s="233"/>
      <c r="AH210" s="327"/>
      <c r="AI210" s="233"/>
    </row>
    <row r="211" spans="2:35" ht="12" thickBot="1">
      <c r="B211" s="374" t="s">
        <v>806</v>
      </c>
      <c r="C211" s="248"/>
      <c r="D211" s="235"/>
      <c r="E211" s="505">
        <f>+SUM(E191:E210)</f>
        <v>8994191881</v>
      </c>
      <c r="F211" s="235"/>
      <c r="G211" s="329">
        <f>+SUM(G191:G210)</f>
        <v>-8032867922</v>
      </c>
      <c r="H211" s="362"/>
      <c r="I211" s="234">
        <f>+SUM(I191:I210)</f>
        <v>500478304</v>
      </c>
      <c r="J211" s="235"/>
      <c r="K211" s="234">
        <f>+SUM(K191:K210)</f>
        <v>-995941625</v>
      </c>
      <c r="L211" s="235"/>
      <c r="M211" s="234">
        <f>+SUM(M191:M210)</f>
        <v>2041223393</v>
      </c>
      <c r="N211" s="235"/>
      <c r="O211" s="234">
        <f>+SUM(O191:O210)</f>
        <v>-29215698</v>
      </c>
      <c r="P211" s="235"/>
      <c r="Q211" s="234">
        <f>+SUM(Q191:Q210)</f>
        <v>4664770595</v>
      </c>
      <c r="R211" s="235"/>
      <c r="S211" s="234">
        <f>+SUM(S191:S210)</f>
        <v>109199611</v>
      </c>
      <c r="T211" s="235"/>
      <c r="U211" s="234">
        <f>+SUM(U191:U210)</f>
        <v>6325470827</v>
      </c>
      <c r="V211" s="355"/>
      <c r="W211" s="505">
        <f>+SUM(W191:W210)</f>
        <v>1007674073</v>
      </c>
      <c r="X211" s="235"/>
      <c r="Y211" s="329">
        <f>+SUM(Y191:Y210)</f>
        <v>152008541</v>
      </c>
      <c r="Z211" s="362"/>
      <c r="AA211" s="234">
        <f>+SUM(AA191:AA210)</f>
        <v>520976990</v>
      </c>
      <c r="AB211" s="235"/>
      <c r="AC211" s="234">
        <f>+SUM(AC191:AC210)</f>
        <v>-13047535</v>
      </c>
      <c r="AD211" s="235"/>
      <c r="AE211" s="234">
        <f>+SUM(AE191:AE210)</f>
        <v>1952772599</v>
      </c>
      <c r="AF211" s="235"/>
      <c r="AG211" s="234">
        <f>+SUM(AG191:AG210)</f>
        <v>795368688</v>
      </c>
      <c r="AH211" s="235"/>
      <c r="AI211" s="234">
        <f>+SUM(AI191:AI210)</f>
        <v>-4678960</v>
      </c>
    </row>
    <row r="213" spans="2:35">
      <c r="B213" s="318" t="s">
        <v>900</v>
      </c>
    </row>
    <row r="214" spans="2:35" ht="12" thickBot="1">
      <c r="G214" s="335" t="s">
        <v>247</v>
      </c>
    </row>
    <row r="215" spans="2:35" ht="12" thickBot="1">
      <c r="B215" s="375" t="s">
        <v>169</v>
      </c>
      <c r="C215" s="274"/>
      <c r="D215" s="1463" t="s">
        <v>860</v>
      </c>
      <c r="E215" s="1464"/>
      <c r="F215" s="1463" t="s">
        <v>17</v>
      </c>
      <c r="G215" s="1464"/>
      <c r="H215" s="1463" t="s">
        <v>18</v>
      </c>
      <c r="I215" s="1464"/>
      <c r="J215" s="1463" t="s">
        <v>19</v>
      </c>
      <c r="K215" s="1464"/>
      <c r="L215" s="1463" t="s">
        <v>20</v>
      </c>
      <c r="M215" s="1464"/>
      <c r="N215" s="1463" t="s">
        <v>21</v>
      </c>
      <c r="O215" s="1464"/>
      <c r="P215" s="1463" t="s">
        <v>22</v>
      </c>
      <c r="Q215" s="1464"/>
      <c r="R215" s="1463" t="s">
        <v>23</v>
      </c>
      <c r="S215" s="1464"/>
      <c r="T215" s="1463" t="s">
        <v>24</v>
      </c>
      <c r="U215" s="1464"/>
      <c r="V215" s="1463" t="s">
        <v>25</v>
      </c>
      <c r="W215" s="1464"/>
      <c r="X215" s="1463" t="s">
        <v>26</v>
      </c>
      <c r="Y215" s="1464"/>
      <c r="Z215" s="1463" t="s">
        <v>27</v>
      </c>
      <c r="AA215" s="1464"/>
      <c r="AB215" s="1473" t="s">
        <v>28</v>
      </c>
      <c r="AC215" s="1474"/>
      <c r="AD215" s="1463" t="s">
        <v>29</v>
      </c>
      <c r="AE215" s="1464"/>
      <c r="AF215" s="1463" t="s">
        <v>30</v>
      </c>
      <c r="AG215" s="1464"/>
      <c r="AH215" s="1463" t="s">
        <v>31</v>
      </c>
      <c r="AI215" s="1464"/>
    </row>
    <row r="216" spans="2:35">
      <c r="B216" s="376" t="s">
        <v>901</v>
      </c>
      <c r="C216" s="251"/>
      <c r="D216" s="351"/>
      <c r="E216" s="356"/>
      <c r="F216" s="357"/>
      <c r="G216" s="356"/>
      <c r="H216" s="357"/>
      <c r="I216" s="356"/>
      <c r="J216" s="357"/>
      <c r="K216" s="356"/>
      <c r="L216" s="357"/>
      <c r="M216" s="356"/>
      <c r="N216" s="357"/>
      <c r="O216" s="356"/>
      <c r="P216" s="357"/>
      <c r="Q216" s="356"/>
      <c r="R216" s="357"/>
      <c r="S216" s="356"/>
      <c r="T216" s="357"/>
      <c r="U216" s="356"/>
      <c r="V216" s="358"/>
      <c r="W216" s="356"/>
      <c r="X216" s="357"/>
      <c r="Y216" s="356"/>
      <c r="Z216" s="357"/>
      <c r="AA216" s="357"/>
      <c r="AB216" s="351"/>
      <c r="AC216" s="356"/>
      <c r="AD216" s="357"/>
      <c r="AE216" s="356"/>
      <c r="AF216" s="357"/>
      <c r="AG216" s="356"/>
      <c r="AH216" s="357"/>
      <c r="AI216" s="356"/>
    </row>
    <row r="217" spans="2:35">
      <c r="B217" s="377" t="s">
        <v>168</v>
      </c>
      <c r="C217" s="244"/>
      <c r="D217" s="237">
        <f t="shared" ref="D217:D226" si="6">F217+H217+J217+L217+N217+P217+R217+T217+V217+X217+Z217+AB217+AD217+AF217+AH217</f>
        <v>60595347</v>
      </c>
      <c r="E217" s="233"/>
      <c r="F217" s="378">
        <v>53545095</v>
      </c>
      <c r="G217" s="352"/>
      <c r="H217" s="239">
        <v>601528</v>
      </c>
      <c r="I217" s="352"/>
      <c r="J217" s="239">
        <v>10500</v>
      </c>
      <c r="K217" s="352"/>
      <c r="L217" s="491">
        <v>1521176</v>
      </c>
      <c r="M217" s="352"/>
      <c r="N217" s="239">
        <v>31500</v>
      </c>
      <c r="O217" s="233"/>
      <c r="P217" s="239">
        <v>133228</v>
      </c>
      <c r="Q217" s="352"/>
      <c r="R217" s="649">
        <v>18735</v>
      </c>
      <c r="S217" s="352"/>
      <c r="T217" s="239">
        <v>63000</v>
      </c>
      <c r="U217" s="233"/>
      <c r="V217" s="239">
        <v>2584981</v>
      </c>
      <c r="W217" s="352"/>
      <c r="X217" s="239"/>
      <c r="Y217" s="352"/>
      <c r="Z217" s="239">
        <v>10026</v>
      </c>
      <c r="AA217" s="360"/>
      <c r="AB217" s="354">
        <v>2119092</v>
      </c>
      <c r="AC217" s="233"/>
      <c r="AD217" s="239">
        <v>-380188</v>
      </c>
      <c r="AE217" s="352"/>
      <c r="AF217" s="239"/>
      <c r="AG217" s="352"/>
      <c r="AH217" s="239">
        <v>336674</v>
      </c>
      <c r="AI217" s="352"/>
    </row>
    <row r="218" spans="2:35">
      <c r="B218" s="377" t="s">
        <v>166</v>
      </c>
      <c r="C218" s="244"/>
      <c r="D218" s="237">
        <f t="shared" si="6"/>
        <v>44871365</v>
      </c>
      <c r="E218" s="233"/>
      <c r="F218" s="378">
        <v>16522386</v>
      </c>
      <c r="G218" s="352"/>
      <c r="H218" s="239">
        <v>326209</v>
      </c>
      <c r="I218" s="352"/>
      <c r="J218" s="239">
        <v>357747</v>
      </c>
      <c r="K218" s="352"/>
      <c r="L218" s="491">
        <v>350655</v>
      </c>
      <c r="M218" s="352"/>
      <c r="N218" s="239">
        <v>1669745</v>
      </c>
      <c r="O218" s="233"/>
      <c r="P218" s="239">
        <v>4061860</v>
      </c>
      <c r="Q218" s="352"/>
      <c r="R218" s="239">
        <v>876327</v>
      </c>
      <c r="S218" s="352"/>
      <c r="T218" s="239">
        <v>3142571</v>
      </c>
      <c r="U218" s="233"/>
      <c r="V218" s="239">
        <v>3034916</v>
      </c>
      <c r="W218" s="352"/>
      <c r="X218" s="239">
        <v>231473</v>
      </c>
      <c r="Y218" s="352"/>
      <c r="Z218" s="239">
        <v>1497561</v>
      </c>
      <c r="AA218" s="360"/>
      <c r="AB218" s="354">
        <v>2885934</v>
      </c>
      <c r="AC218" s="233"/>
      <c r="AD218" s="239">
        <v>2996030</v>
      </c>
      <c r="AE218" s="352"/>
      <c r="AF218" s="239">
        <v>5988689</v>
      </c>
      <c r="AG218" s="352"/>
      <c r="AH218" s="239">
        <v>929262</v>
      </c>
      <c r="AI218" s="352"/>
    </row>
    <row r="219" spans="2:35">
      <c r="B219" s="377" t="s">
        <v>164</v>
      </c>
      <c r="C219" s="244"/>
      <c r="D219" s="237">
        <f t="shared" si="6"/>
        <v>78739135</v>
      </c>
      <c r="E219" s="233"/>
      <c r="F219" s="378">
        <v>23139142</v>
      </c>
      <c r="G219" s="352"/>
      <c r="H219" s="239">
        <v>1736240</v>
      </c>
      <c r="I219" s="352"/>
      <c r="J219" s="239">
        <v>923729</v>
      </c>
      <c r="K219" s="352"/>
      <c r="L219" s="491">
        <v>1359799</v>
      </c>
      <c r="M219" s="352"/>
      <c r="N219" s="239">
        <v>4362896</v>
      </c>
      <c r="O219" s="233"/>
      <c r="P219" s="239">
        <v>6190069</v>
      </c>
      <c r="Q219" s="352"/>
      <c r="R219" s="239">
        <v>3010746</v>
      </c>
      <c r="S219" s="352"/>
      <c r="T219" s="239">
        <v>6884810</v>
      </c>
      <c r="U219" s="233"/>
      <c r="V219" s="239">
        <v>8905330</v>
      </c>
      <c r="W219" s="352"/>
      <c r="X219" s="239">
        <v>631353</v>
      </c>
      <c r="Y219" s="352"/>
      <c r="Z219" s="239">
        <v>4467507</v>
      </c>
      <c r="AA219" s="360"/>
      <c r="AB219" s="354">
        <v>2682656</v>
      </c>
      <c r="AC219" s="233"/>
      <c r="AD219" s="239">
        <v>3041268</v>
      </c>
      <c r="AE219" s="352"/>
      <c r="AF219" s="239">
        <v>11403590</v>
      </c>
      <c r="AG219" s="352"/>
      <c r="AH219" s="239"/>
      <c r="AI219" s="352"/>
    </row>
    <row r="220" spans="2:35">
      <c r="B220" s="377" t="s">
        <v>165</v>
      </c>
      <c r="C220" s="244"/>
      <c r="D220" s="237">
        <f t="shared" si="6"/>
        <v>22058103</v>
      </c>
      <c r="E220" s="233"/>
      <c r="F220" s="378">
        <v>8314911</v>
      </c>
      <c r="G220" s="352"/>
      <c r="H220" s="239">
        <v>168409</v>
      </c>
      <c r="I220" s="352"/>
      <c r="J220" s="239">
        <v>162056</v>
      </c>
      <c r="K220" s="352"/>
      <c r="L220" s="491">
        <v>180074</v>
      </c>
      <c r="M220" s="352"/>
      <c r="N220" s="239">
        <v>421376</v>
      </c>
      <c r="O220" s="233"/>
      <c r="P220" s="239">
        <v>1643884</v>
      </c>
      <c r="Q220" s="352"/>
      <c r="R220" s="239">
        <v>439282</v>
      </c>
      <c r="S220" s="352"/>
      <c r="T220" s="239">
        <v>2036656</v>
      </c>
      <c r="U220" s="233"/>
      <c r="V220" s="239">
        <v>1498330</v>
      </c>
      <c r="W220" s="352"/>
      <c r="X220" s="239">
        <v>177892</v>
      </c>
      <c r="Y220" s="352"/>
      <c r="Z220" s="239">
        <v>690029</v>
      </c>
      <c r="AA220" s="360"/>
      <c r="AB220" s="354">
        <v>1299597</v>
      </c>
      <c r="AC220" s="233"/>
      <c r="AD220" s="239">
        <v>1630452</v>
      </c>
      <c r="AE220" s="352"/>
      <c r="AF220" s="239">
        <v>2798812</v>
      </c>
      <c r="AG220" s="352"/>
      <c r="AH220" s="239">
        <v>596343</v>
      </c>
      <c r="AI220" s="352"/>
    </row>
    <row r="221" spans="2:35">
      <c r="B221" s="377" t="s">
        <v>154</v>
      </c>
      <c r="C221" s="244"/>
      <c r="D221" s="237">
        <f t="shared" si="6"/>
        <v>0</v>
      </c>
      <c r="E221" s="233"/>
      <c r="F221" s="238"/>
      <c r="G221" s="352"/>
      <c r="H221" s="239"/>
      <c r="I221" s="352"/>
      <c r="J221" s="239"/>
      <c r="K221" s="352"/>
      <c r="L221" s="491"/>
      <c r="M221" s="352"/>
      <c r="N221" s="239"/>
      <c r="O221" s="233"/>
      <c r="P221" s="239"/>
      <c r="Q221" s="352"/>
      <c r="R221" s="239"/>
      <c r="S221" s="352"/>
      <c r="T221" s="239"/>
      <c r="U221" s="233"/>
      <c r="V221" s="239"/>
      <c r="W221" s="352"/>
      <c r="X221" s="239">
        <v>0</v>
      </c>
      <c r="Y221" s="352"/>
      <c r="Z221" s="239"/>
      <c r="AA221" s="360"/>
      <c r="AB221" s="354"/>
      <c r="AC221" s="233"/>
      <c r="AD221" s="239">
        <v>0</v>
      </c>
      <c r="AE221" s="352"/>
      <c r="AF221" s="239"/>
      <c r="AG221" s="352"/>
      <c r="AH221" s="239"/>
      <c r="AI221" s="352"/>
    </row>
    <row r="222" spans="2:35">
      <c r="B222" s="377" t="s">
        <v>155</v>
      </c>
      <c r="C222" s="244"/>
      <c r="D222" s="237">
        <f t="shared" si="6"/>
        <v>66464545</v>
      </c>
      <c r="E222" s="233"/>
      <c r="F222" s="238">
        <v>23358107</v>
      </c>
      <c r="G222" s="352"/>
      <c r="H222" s="239">
        <v>1257579</v>
      </c>
      <c r="I222" s="352"/>
      <c r="J222" s="239">
        <v>1438923</v>
      </c>
      <c r="K222" s="352"/>
      <c r="L222" s="491">
        <v>2107814</v>
      </c>
      <c r="M222" s="352"/>
      <c r="N222" s="239">
        <v>2817917</v>
      </c>
      <c r="O222" s="233"/>
      <c r="P222" s="239">
        <v>5771542</v>
      </c>
      <c r="Q222" s="352"/>
      <c r="R222" s="239">
        <v>2406787</v>
      </c>
      <c r="S222" s="352"/>
      <c r="T222" s="239">
        <v>5996731</v>
      </c>
      <c r="U222" s="233"/>
      <c r="V222" s="239">
        <v>4754941</v>
      </c>
      <c r="W222" s="352"/>
      <c r="X222" s="239">
        <v>1034629</v>
      </c>
      <c r="Y222" s="352"/>
      <c r="Z222" s="239">
        <v>2561496</v>
      </c>
      <c r="AA222" s="360"/>
      <c r="AB222" s="354">
        <v>2346147</v>
      </c>
      <c r="AC222" s="233"/>
      <c r="AD222" s="239">
        <v>4446267</v>
      </c>
      <c r="AE222" s="352"/>
      <c r="AF222" s="239">
        <v>6165665</v>
      </c>
      <c r="AG222" s="352"/>
      <c r="AH222" s="239"/>
      <c r="AI222" s="352"/>
    </row>
    <row r="223" spans="2:35" ht="12.75" customHeight="1">
      <c r="B223" s="364" t="s">
        <v>156</v>
      </c>
      <c r="C223" s="244"/>
      <c r="D223" s="237">
        <f t="shared" si="6"/>
        <v>4984999</v>
      </c>
      <c r="E223" s="233"/>
      <c r="F223" s="238">
        <v>1657683</v>
      </c>
      <c r="G223" s="352"/>
      <c r="H223" s="239">
        <v>76579</v>
      </c>
      <c r="I223" s="352"/>
      <c r="J223" s="239">
        <v>85456</v>
      </c>
      <c r="K223" s="352"/>
      <c r="L223" s="491">
        <v>78720</v>
      </c>
      <c r="M223" s="352"/>
      <c r="N223" s="239">
        <v>273481</v>
      </c>
      <c r="O223" s="233"/>
      <c r="P223" s="239">
        <v>457308</v>
      </c>
      <c r="Q223" s="352"/>
      <c r="R223" s="239">
        <v>125779</v>
      </c>
      <c r="S223" s="352"/>
      <c r="T223" s="239">
        <v>542437</v>
      </c>
      <c r="U223" s="233"/>
      <c r="V223" s="239">
        <v>382992</v>
      </c>
      <c r="W223" s="352"/>
      <c r="X223" s="239">
        <v>59022</v>
      </c>
      <c r="Y223" s="352"/>
      <c r="Z223" s="239">
        <v>221698</v>
      </c>
      <c r="AA223" s="360"/>
      <c r="AB223" s="354">
        <v>155803</v>
      </c>
      <c r="AC223" s="233"/>
      <c r="AD223" s="239">
        <v>339933</v>
      </c>
      <c r="AE223" s="352"/>
      <c r="AF223" s="239">
        <v>528108</v>
      </c>
      <c r="AG223" s="352"/>
      <c r="AH223" s="239"/>
      <c r="AI223" s="352"/>
    </row>
    <row r="224" spans="2:35">
      <c r="B224" s="364" t="s">
        <v>157</v>
      </c>
      <c r="C224" s="244"/>
      <c r="D224" s="237">
        <f t="shared" si="6"/>
        <v>418638</v>
      </c>
      <c r="E224" s="233"/>
      <c r="F224" s="238">
        <v>145356</v>
      </c>
      <c r="G224" s="352"/>
      <c r="H224" s="239">
        <v>9257</v>
      </c>
      <c r="I224" s="352"/>
      <c r="J224" s="239">
        <v>9732</v>
      </c>
      <c r="K224" s="352"/>
      <c r="L224" s="491">
        <v>9065</v>
      </c>
      <c r="M224" s="352"/>
      <c r="N224" s="239">
        <v>23801</v>
      </c>
      <c r="O224" s="233"/>
      <c r="P224" s="239">
        <v>37212</v>
      </c>
      <c r="Q224" s="352"/>
      <c r="R224" s="239">
        <v>9010</v>
      </c>
      <c r="S224" s="352"/>
      <c r="T224" s="239">
        <v>43018</v>
      </c>
      <c r="U224" s="233"/>
      <c r="V224" s="239">
        <v>29910</v>
      </c>
      <c r="W224" s="352"/>
      <c r="X224" s="239">
        <v>6953</v>
      </c>
      <c r="Y224" s="352"/>
      <c r="Z224" s="239">
        <v>15382</v>
      </c>
      <c r="AA224" s="360"/>
      <c r="AB224" s="354">
        <v>11220</v>
      </c>
      <c r="AC224" s="233"/>
      <c r="AD224" s="239">
        <v>29953</v>
      </c>
      <c r="AE224" s="352"/>
      <c r="AF224" s="239">
        <v>38769</v>
      </c>
      <c r="AG224" s="352"/>
      <c r="AH224" s="239"/>
      <c r="AI224" s="352"/>
    </row>
    <row r="225" spans="2:35">
      <c r="B225" s="377" t="s">
        <v>158</v>
      </c>
      <c r="C225" s="244"/>
      <c r="D225" s="237">
        <f t="shared" si="6"/>
        <v>8959794</v>
      </c>
      <c r="E225" s="233"/>
      <c r="F225" s="238">
        <v>2799616</v>
      </c>
      <c r="G225" s="352"/>
      <c r="H225" s="239">
        <v>620470</v>
      </c>
      <c r="I225" s="352"/>
      <c r="J225" s="239">
        <v>132846</v>
      </c>
      <c r="K225" s="352"/>
      <c r="L225" s="491">
        <v>123839</v>
      </c>
      <c r="M225" s="352"/>
      <c r="N225" s="239">
        <v>325612</v>
      </c>
      <c r="O225" s="233"/>
      <c r="P225" s="239">
        <v>534713</v>
      </c>
      <c r="Q225" s="352"/>
      <c r="R225" s="649">
        <v>166197</v>
      </c>
      <c r="S225" s="352"/>
      <c r="T225" s="239">
        <v>1446640</v>
      </c>
      <c r="U225" s="233"/>
      <c r="V225" s="239">
        <v>535554</v>
      </c>
      <c r="W225" s="352"/>
      <c r="X225" s="239">
        <v>135568</v>
      </c>
      <c r="Y225" s="352"/>
      <c r="Z225" s="239">
        <v>418847</v>
      </c>
      <c r="AA225" s="360"/>
      <c r="AB225" s="354">
        <v>253023</v>
      </c>
      <c r="AC225" s="233"/>
      <c r="AD225" s="239">
        <v>635002</v>
      </c>
      <c r="AE225" s="352"/>
      <c r="AF225" s="239">
        <v>831867</v>
      </c>
      <c r="AG225" s="352"/>
      <c r="AH225" s="239"/>
      <c r="AI225" s="352"/>
    </row>
    <row r="226" spans="2:35">
      <c r="B226" s="379" t="s">
        <v>548</v>
      </c>
      <c r="C226" s="244"/>
      <c r="D226" s="237">
        <f t="shared" si="6"/>
        <v>16857</v>
      </c>
      <c r="E226" s="233"/>
      <c r="F226" s="238"/>
      <c r="G226" s="352"/>
      <c r="H226" s="239">
        <v>16857</v>
      </c>
      <c r="I226" s="352"/>
      <c r="J226" s="239"/>
      <c r="K226" s="352"/>
      <c r="L226" s="491"/>
      <c r="M226" s="352"/>
      <c r="N226" s="239"/>
      <c r="O226" s="233"/>
      <c r="P226" s="239"/>
      <c r="Q226" s="352"/>
      <c r="R226" s="360"/>
      <c r="S226" s="352"/>
      <c r="T226" s="239"/>
      <c r="U226" s="233"/>
      <c r="V226" s="239"/>
      <c r="W226" s="352"/>
      <c r="X226" s="239"/>
      <c r="Y226" s="352"/>
      <c r="Z226" s="239"/>
      <c r="AA226" s="360"/>
      <c r="AB226" s="354"/>
      <c r="AC226" s="233"/>
      <c r="AD226" s="239"/>
      <c r="AE226" s="352"/>
      <c r="AF226" s="239"/>
      <c r="AG226" s="352"/>
      <c r="AH226" s="239"/>
      <c r="AI226" s="352"/>
    </row>
    <row r="227" spans="2:35" ht="12" thickBot="1">
      <c r="B227" s="364"/>
      <c r="C227" s="244"/>
      <c r="D227" s="245"/>
      <c r="E227" s="233">
        <f>+SUM(D217:D227)</f>
        <v>287108783</v>
      </c>
      <c r="F227" s="380"/>
      <c r="G227" s="233">
        <f>+SUM(F217:F227)</f>
        <v>129482296</v>
      </c>
      <c r="H227" s="355"/>
      <c r="I227" s="233">
        <f>+SUM(H217:H227)</f>
        <v>4813128</v>
      </c>
      <c r="J227" s="355"/>
      <c r="K227" s="233">
        <f>+SUM(J217:J227)</f>
        <v>3120989</v>
      </c>
      <c r="L227" s="355"/>
      <c r="M227" s="233">
        <f>+SUM(L217:L227)</f>
        <v>5731142</v>
      </c>
      <c r="N227" s="235"/>
      <c r="O227" s="233">
        <f>+SUM(N217:N227)</f>
        <v>9926328</v>
      </c>
      <c r="P227" s="355"/>
      <c r="Q227" s="233">
        <f>+SUM(P217:P227)</f>
        <v>18829816</v>
      </c>
      <c r="R227" s="235"/>
      <c r="S227" s="233">
        <f>+SUM(R217:R227)</f>
        <v>7052863</v>
      </c>
      <c r="T227" s="355"/>
      <c r="U227" s="233">
        <f>+SUM(T217:T227)</f>
        <v>20155863</v>
      </c>
      <c r="V227" s="355"/>
      <c r="W227" s="233">
        <f>+SUM(V217:V227)</f>
        <v>21726954</v>
      </c>
      <c r="X227" s="235"/>
      <c r="Y227" s="233">
        <f>+SUM(X217:X227)</f>
        <v>2276890</v>
      </c>
      <c r="Z227" s="355"/>
      <c r="AA227" s="239">
        <f>+SUM(Z217:Z227)</f>
        <v>9882546</v>
      </c>
      <c r="AB227" s="235"/>
      <c r="AC227" s="233">
        <f>+SUM(AB217:AB227)</f>
        <v>11753472</v>
      </c>
      <c r="AD227" s="362"/>
      <c r="AE227" s="233">
        <f>+SUM(AD217:AD227)</f>
        <v>12738717</v>
      </c>
      <c r="AF227" s="235"/>
      <c r="AG227" s="233">
        <f>+SUM(AF217:AF227)</f>
        <v>27755500</v>
      </c>
      <c r="AH227" s="235"/>
      <c r="AI227" s="233">
        <f>+SUM(AH217:AH227)</f>
        <v>1862279</v>
      </c>
    </row>
    <row r="228" spans="2:35">
      <c r="B228" s="327"/>
      <c r="C228" s="244"/>
      <c r="D228" s="327"/>
      <c r="E228" s="352"/>
      <c r="F228" s="381"/>
      <c r="G228" s="352"/>
      <c r="H228" s="360"/>
      <c r="I228" s="352"/>
      <c r="J228" s="239"/>
      <c r="K228" s="352"/>
      <c r="L228" s="360"/>
      <c r="M228" s="352"/>
      <c r="N228" s="360"/>
      <c r="O228" s="352"/>
      <c r="P228" s="360"/>
      <c r="Q228" s="352"/>
      <c r="R228" s="360"/>
      <c r="S228" s="352"/>
      <c r="T228" s="360"/>
      <c r="U228" s="352"/>
      <c r="V228" s="239"/>
      <c r="W228" s="352"/>
      <c r="X228" s="360"/>
      <c r="Y228" s="352"/>
      <c r="Z228" s="360"/>
      <c r="AA228" s="360"/>
      <c r="AB228" s="327"/>
      <c r="AC228" s="352"/>
      <c r="AD228" s="360"/>
      <c r="AE228" s="352"/>
      <c r="AF228" s="360"/>
      <c r="AG228" s="352"/>
      <c r="AH228" s="360"/>
      <c r="AI228" s="352"/>
    </row>
    <row r="229" spans="2:35">
      <c r="B229" s="791" t="s">
        <v>887</v>
      </c>
      <c r="C229" s="244"/>
      <c r="D229" s="327"/>
      <c r="E229" s="352"/>
      <c r="F229" s="381"/>
      <c r="G229" s="352"/>
      <c r="H229" s="360"/>
      <c r="I229" s="352"/>
      <c r="J229" s="239"/>
      <c r="K229" s="352"/>
      <c r="L229" s="360"/>
      <c r="M229" s="352"/>
      <c r="N229" s="360"/>
      <c r="O229" s="352"/>
      <c r="P229" s="360"/>
      <c r="Q229" s="352"/>
      <c r="R229" s="360"/>
      <c r="S229" s="352"/>
      <c r="T229" s="360"/>
      <c r="U229" s="352"/>
      <c r="V229" s="239"/>
      <c r="W229" s="352"/>
      <c r="X229" s="360"/>
      <c r="Y229" s="352"/>
      <c r="Z229" s="360"/>
      <c r="AA229" s="360"/>
      <c r="AB229" s="327"/>
      <c r="AC229" s="352"/>
      <c r="AD229" s="360"/>
      <c r="AE229" s="352"/>
      <c r="AF229" s="360"/>
      <c r="AG229" s="352"/>
      <c r="AH229" s="360"/>
      <c r="AI229" s="352"/>
    </row>
    <row r="230" spans="2:35">
      <c r="B230" s="377" t="s">
        <v>159</v>
      </c>
      <c r="C230" s="244"/>
      <c r="D230" s="237">
        <f>F230+H230+J230+L230+N230+P230+R230+T230+V230+X230+Z230+AB230+AD230+AF230+AH230</f>
        <v>810188285</v>
      </c>
      <c r="E230" s="352"/>
      <c r="F230" s="238">
        <v>810188285</v>
      </c>
      <c r="G230" s="352"/>
      <c r="H230" s="360"/>
      <c r="I230" s="352"/>
      <c r="J230" s="239"/>
      <c r="K230" s="352"/>
      <c r="L230" s="360"/>
      <c r="M230" s="352"/>
      <c r="N230" s="360"/>
      <c r="O230" s="352"/>
      <c r="P230" s="360"/>
      <c r="Q230" s="352"/>
      <c r="R230" s="360"/>
      <c r="S230" s="352"/>
      <c r="T230" s="360"/>
      <c r="U230" s="352"/>
      <c r="V230" s="239"/>
      <c r="W230" s="352"/>
      <c r="X230" s="360"/>
      <c r="Y230" s="352"/>
      <c r="Z230" s="360"/>
      <c r="AA230" s="360"/>
      <c r="AB230" s="327"/>
      <c r="AC230" s="352"/>
      <c r="AD230" s="360"/>
      <c r="AE230" s="352"/>
      <c r="AF230" s="360"/>
      <c r="AG230" s="352"/>
      <c r="AH230" s="360"/>
      <c r="AI230" s="352"/>
    </row>
    <row r="231" spans="2:35">
      <c r="B231" s="377" t="s">
        <v>161</v>
      </c>
      <c r="C231" s="244"/>
      <c r="D231" s="237">
        <f>F231+H231+J231+L231+N231+P231+R231+T231+V231+X231+Z231+AB231+AD231+AF231+AH231</f>
        <v>100000000</v>
      </c>
      <c r="E231" s="233"/>
      <c r="F231" s="238">
        <v>100000000</v>
      </c>
      <c r="G231" s="233"/>
      <c r="H231" s="360"/>
      <c r="I231" s="233"/>
      <c r="J231" s="239"/>
      <c r="K231" s="233"/>
      <c r="L231" s="360"/>
      <c r="M231" s="233"/>
      <c r="N231" s="360"/>
      <c r="O231" s="233"/>
      <c r="P231" s="360"/>
      <c r="Q231" s="233"/>
      <c r="R231" s="360"/>
      <c r="S231" s="233"/>
      <c r="T231" s="360"/>
      <c r="U231" s="233"/>
      <c r="V231" s="239"/>
      <c r="W231" s="233"/>
      <c r="X231" s="360"/>
      <c r="Y231" s="233"/>
      <c r="Z231" s="360"/>
      <c r="AA231" s="239"/>
      <c r="AB231" s="327"/>
      <c r="AC231" s="233"/>
      <c r="AD231" s="360"/>
      <c r="AE231" s="233"/>
      <c r="AF231" s="360"/>
      <c r="AG231" s="233"/>
      <c r="AH231" s="360"/>
      <c r="AI231" s="233"/>
    </row>
    <row r="232" spans="2:35">
      <c r="B232" s="377" t="s">
        <v>162</v>
      </c>
      <c r="C232" s="244"/>
      <c r="D232" s="237">
        <f>F232+H232+J232+L232+N232+P232+R232+T232+V232+X232+Z232+AB232+AD232+AF232+AH232</f>
        <v>0</v>
      </c>
      <c r="E232" s="233"/>
      <c r="F232" s="238"/>
      <c r="G232" s="233"/>
      <c r="H232" s="360"/>
      <c r="I232" s="233"/>
      <c r="J232" s="239"/>
      <c r="K232" s="233"/>
      <c r="L232" s="360"/>
      <c r="M232" s="233"/>
      <c r="N232" s="360"/>
      <c r="O232" s="233"/>
      <c r="P232" s="360"/>
      <c r="Q232" s="233"/>
      <c r="R232" s="360"/>
      <c r="S232" s="233"/>
      <c r="T232" s="360"/>
      <c r="U232" s="233"/>
      <c r="V232" s="239"/>
      <c r="W232" s="233"/>
      <c r="X232" s="360"/>
      <c r="Y232" s="233"/>
      <c r="Z232" s="360"/>
      <c r="AA232" s="239"/>
      <c r="AB232" s="327"/>
      <c r="AC232" s="233"/>
      <c r="AD232" s="360"/>
      <c r="AE232" s="233"/>
      <c r="AF232" s="360"/>
      <c r="AG232" s="233"/>
      <c r="AH232" s="360"/>
      <c r="AI232" s="233"/>
    </row>
    <row r="233" spans="2:35" ht="10.9" customHeight="1">
      <c r="B233" s="377" t="s">
        <v>163</v>
      </c>
      <c r="C233" s="244"/>
      <c r="D233" s="237">
        <f>F233+H233+J233+L233+N233+P233+R233+T233+V233+X233+Z233+AB233+AD233+AF233+AH233</f>
        <v>1382230</v>
      </c>
      <c r="E233" s="243"/>
      <c r="F233" s="244"/>
      <c r="G233" s="243"/>
      <c r="H233" s="244"/>
      <c r="I233" s="243"/>
      <c r="J233" s="341"/>
      <c r="K233" s="243"/>
      <c r="L233" s="244"/>
      <c r="M233" s="243"/>
      <c r="N233" s="244"/>
      <c r="O233" s="243"/>
      <c r="P233" s="244"/>
      <c r="Q233" s="243"/>
      <c r="R233" s="244"/>
      <c r="S233" s="243"/>
      <c r="T233" s="244"/>
      <c r="U233" s="243"/>
      <c r="V233" s="341"/>
      <c r="W233" s="243"/>
      <c r="X233" s="244"/>
      <c r="Y233" s="243"/>
      <c r="Z233" s="244">
        <v>1382230</v>
      </c>
      <c r="AA233" s="244"/>
      <c r="AB233" s="237"/>
      <c r="AC233" s="243"/>
      <c r="AD233" s="244"/>
      <c r="AE233" s="243"/>
      <c r="AF233" s="244"/>
      <c r="AG233" s="243"/>
      <c r="AH233" s="244"/>
      <c r="AI233" s="243"/>
    </row>
    <row r="234" spans="2:35" ht="12" thickBot="1">
      <c r="B234" s="377" t="s">
        <v>160</v>
      </c>
      <c r="C234" s="244"/>
      <c r="D234" s="245">
        <f>F234+H234+J234+L234+N234+P234+R234+T234+V234+X234+Z234+AB234+AD234+AF234+AH234</f>
        <v>0</v>
      </c>
      <c r="E234" s="243">
        <f>+SUM(D230:D234)</f>
        <v>911570515</v>
      </c>
      <c r="F234" s="245"/>
      <c r="G234" s="243">
        <f>+SUM(F229:F234)</f>
        <v>910188285</v>
      </c>
      <c r="H234" s="245"/>
      <c r="I234" s="243">
        <f>+SUM(H229:H234)</f>
        <v>0</v>
      </c>
      <c r="J234" s="344"/>
      <c r="K234" s="243">
        <f>+SUM(J229:J234)</f>
        <v>0</v>
      </c>
      <c r="L234" s="245"/>
      <c r="M234" s="243">
        <f>+SUM(L229:L234)</f>
        <v>0</v>
      </c>
      <c r="N234" s="245"/>
      <c r="O234" s="243">
        <f>+SUM(N229:N234)</f>
        <v>0</v>
      </c>
      <c r="P234" s="245"/>
      <c r="Q234" s="243">
        <f>+SUM(P229:P234)</f>
        <v>0</v>
      </c>
      <c r="R234" s="245"/>
      <c r="S234" s="243">
        <f>+SUM(R229:R234)</f>
        <v>0</v>
      </c>
      <c r="T234" s="245"/>
      <c r="U234" s="243">
        <f>+SUM(T229:T234)</f>
        <v>0</v>
      </c>
      <c r="V234" s="344"/>
      <c r="W234" s="243">
        <f>+SUM(V229:V234)</f>
        <v>0</v>
      </c>
      <c r="X234" s="245"/>
      <c r="Y234" s="243">
        <f>+SUM(X229:X234)</f>
        <v>0</v>
      </c>
      <c r="Z234" s="245"/>
      <c r="AA234" s="244">
        <f>+SUM(Z229:Z234)</f>
        <v>1382230</v>
      </c>
      <c r="AB234" s="245"/>
      <c r="AC234" s="243">
        <f>+SUM(AB229:AB234)</f>
        <v>0</v>
      </c>
      <c r="AD234" s="248"/>
      <c r="AE234" s="243">
        <f>+SUM(AD229:AD234)</f>
        <v>0</v>
      </c>
      <c r="AF234" s="245"/>
      <c r="AG234" s="243">
        <f>+SUM(AF229:AF234)</f>
        <v>0</v>
      </c>
      <c r="AH234" s="245"/>
      <c r="AI234" s="243">
        <f>+SUM(AH229:AH234)</f>
        <v>0</v>
      </c>
    </row>
    <row r="235" spans="2:35">
      <c r="B235" s="382"/>
      <c r="C235" s="244"/>
      <c r="D235" s="249"/>
      <c r="E235" s="243"/>
      <c r="F235" s="249"/>
      <c r="G235" s="243"/>
      <c r="H235" s="249"/>
      <c r="I235" s="243"/>
      <c r="J235" s="383"/>
      <c r="K235" s="243"/>
      <c r="L235" s="249"/>
      <c r="M235" s="243"/>
      <c r="N235" s="249"/>
      <c r="O235" s="243"/>
      <c r="P235" s="249"/>
      <c r="Q235" s="243"/>
      <c r="R235" s="249"/>
      <c r="S235" s="243"/>
      <c r="T235" s="249"/>
      <c r="U235" s="243"/>
      <c r="V235" s="383"/>
      <c r="W235" s="243"/>
      <c r="X235" s="249"/>
      <c r="Y235" s="243"/>
      <c r="Z235" s="249"/>
      <c r="AA235" s="244"/>
      <c r="AB235" s="237"/>
      <c r="AC235" s="243"/>
      <c r="AD235" s="251"/>
      <c r="AE235" s="243"/>
      <c r="AF235" s="249"/>
      <c r="AG235" s="243"/>
      <c r="AH235" s="249"/>
      <c r="AI235" s="243"/>
    </row>
    <row r="236" spans="2:35" s="451" customFormat="1" thickBot="1">
      <c r="B236" s="374" t="s">
        <v>806</v>
      </c>
      <c r="C236" s="517"/>
      <c r="D236" s="264"/>
      <c r="E236" s="518">
        <f>+E227+E234</f>
        <v>1198679298</v>
      </c>
      <c r="F236" s="517"/>
      <c r="G236" s="518">
        <f>+G227+G234</f>
        <v>1039670581</v>
      </c>
      <c r="H236" s="517"/>
      <c r="I236" s="518">
        <f>+I227+I234</f>
        <v>4813128</v>
      </c>
      <c r="J236" s="519"/>
      <c r="K236" s="518">
        <f>+K227+K234</f>
        <v>3120989</v>
      </c>
      <c r="L236" s="517"/>
      <c r="M236" s="518">
        <f>+M227+M234</f>
        <v>5731142</v>
      </c>
      <c r="N236" s="517"/>
      <c r="O236" s="518">
        <f>+O227+O234</f>
        <v>9926328</v>
      </c>
      <c r="P236" s="517"/>
      <c r="Q236" s="518">
        <f>+Q227+Q234</f>
        <v>18829816</v>
      </c>
      <c r="R236" s="517"/>
      <c r="S236" s="518">
        <f>+S227+S234</f>
        <v>7052863</v>
      </c>
      <c r="T236" s="517"/>
      <c r="U236" s="518">
        <f>+U227+U234</f>
        <v>20155863</v>
      </c>
      <c r="V236" s="519"/>
      <c r="W236" s="518">
        <f>+W227+W234</f>
        <v>21726954</v>
      </c>
      <c r="X236" s="517"/>
      <c r="Y236" s="518">
        <f>+Y227+Y234</f>
        <v>2276890</v>
      </c>
      <c r="Z236" s="517"/>
      <c r="AA236" s="520">
        <f>+AA227+AA234</f>
        <v>11264776</v>
      </c>
      <c r="AB236" s="264"/>
      <c r="AC236" s="265">
        <f>+AC227+AC234</f>
        <v>11753472</v>
      </c>
      <c r="AD236" s="517"/>
      <c r="AE236" s="518">
        <f>+AE227+AE234</f>
        <v>12738717</v>
      </c>
      <c r="AF236" s="517"/>
      <c r="AG236" s="518">
        <f>+AG227+AG234</f>
        <v>27755500</v>
      </c>
      <c r="AH236" s="517"/>
      <c r="AI236" s="518">
        <f>+AI227+AI234</f>
        <v>1862279</v>
      </c>
    </row>
    <row r="238" spans="2:35">
      <c r="B238" s="335" t="s">
        <v>902</v>
      </c>
    </row>
    <row r="240" spans="2:35">
      <c r="B240" s="318"/>
    </row>
    <row r="242" spans="2:8">
      <c r="B242" s="318" t="s">
        <v>50</v>
      </c>
    </row>
    <row r="243" spans="2:8" ht="12" thickBot="1">
      <c r="B243" s="385"/>
      <c r="C243" s="385"/>
      <c r="F243" s="335"/>
      <c r="G243" s="335" t="s">
        <v>247</v>
      </c>
    </row>
    <row r="244" spans="2:8" ht="13.9" customHeight="1" thickBot="1">
      <c r="B244" s="386"/>
      <c r="D244" s="1463" t="s">
        <v>860</v>
      </c>
      <c r="E244" s="1464"/>
      <c r="F244" s="1463" t="s">
        <v>17</v>
      </c>
      <c r="G244" s="1464"/>
    </row>
    <row r="245" spans="2:8">
      <c r="B245" s="387" t="s">
        <v>65</v>
      </c>
      <c r="D245" s="388"/>
      <c r="E245" s="389"/>
      <c r="F245" s="390"/>
      <c r="G245" s="391"/>
      <c r="H245" s="360"/>
    </row>
    <row r="246" spans="2:8">
      <c r="B246" s="392" t="s">
        <v>63</v>
      </c>
      <c r="D246" s="393"/>
      <c r="E246" s="394"/>
      <c r="F246" s="395"/>
      <c r="G246" s="396"/>
      <c r="H246" s="360"/>
    </row>
    <row r="247" spans="2:8">
      <c r="B247" s="345" t="s">
        <v>51</v>
      </c>
      <c r="D247" s="393"/>
      <c r="E247" s="394">
        <v>36309393</v>
      </c>
      <c r="F247" s="395"/>
      <c r="G247" s="396">
        <v>0</v>
      </c>
      <c r="H247" s="360"/>
    </row>
    <row r="248" spans="2:8" ht="18" customHeight="1">
      <c r="B248" s="392" t="s">
        <v>64</v>
      </c>
      <c r="D248" s="393"/>
      <c r="E248" s="394"/>
      <c r="F248" s="395"/>
      <c r="G248" s="396"/>
      <c r="H248" s="360"/>
    </row>
    <row r="249" spans="2:8">
      <c r="B249" s="392" t="s">
        <v>60</v>
      </c>
      <c r="D249" s="393"/>
      <c r="E249" s="394"/>
      <c r="F249" s="395"/>
      <c r="G249" s="396"/>
      <c r="H249" s="360"/>
    </row>
    <row r="250" spans="2:8" ht="48" customHeight="1">
      <c r="B250" s="345" t="s">
        <v>172</v>
      </c>
      <c r="D250" s="393"/>
      <c r="E250" s="394">
        <f>G250</f>
        <v>31445045</v>
      </c>
      <c r="F250" s="395"/>
      <c r="G250" s="396">
        <v>31445045</v>
      </c>
      <c r="H250" s="360"/>
    </row>
    <row r="251" spans="2:8">
      <c r="B251" s="392" t="s">
        <v>61</v>
      </c>
      <c r="D251" s="393"/>
      <c r="E251" s="394"/>
      <c r="F251" s="395"/>
      <c r="G251" s="396"/>
      <c r="H251" s="360"/>
    </row>
    <row r="252" spans="2:8">
      <c r="B252" s="397" t="s">
        <v>180</v>
      </c>
      <c r="D252" s="393"/>
      <c r="E252" s="394"/>
      <c r="F252" s="395"/>
      <c r="G252" s="396"/>
      <c r="H252" s="360"/>
    </row>
    <row r="253" spans="2:8" ht="42">
      <c r="B253" s="345" t="s">
        <v>171</v>
      </c>
      <c r="D253" s="393">
        <f>+F253</f>
        <v>3796854880</v>
      </c>
      <c r="E253" s="394"/>
      <c r="F253" s="395">
        <v>3796854880</v>
      </c>
      <c r="G253" s="396"/>
      <c r="H253" s="360"/>
    </row>
    <row r="254" spans="2:8" ht="21">
      <c r="B254" s="397" t="s">
        <v>181</v>
      </c>
      <c r="D254" s="393"/>
      <c r="E254" s="394"/>
      <c r="F254" s="395"/>
      <c r="G254" s="396"/>
      <c r="H254" s="360"/>
    </row>
    <row r="255" spans="2:8" ht="42.75" thickBot="1">
      <c r="B255" s="345" t="s">
        <v>173</v>
      </c>
      <c r="D255" s="398">
        <f>F255</f>
        <v>130000</v>
      </c>
      <c r="E255" s="394">
        <f>+SUM(D253:D255)</f>
        <v>3796984880</v>
      </c>
      <c r="F255" s="399">
        <v>130000</v>
      </c>
      <c r="G255" s="396">
        <f>+SUM(F253:F255)</f>
        <v>3796984880</v>
      </c>
      <c r="H255" s="360"/>
    </row>
    <row r="256" spans="2:8">
      <c r="B256" s="392" t="s">
        <v>62</v>
      </c>
      <c r="D256" s="393"/>
      <c r="E256" s="394"/>
      <c r="F256" s="395"/>
      <c r="G256" s="396"/>
      <c r="H256" s="360"/>
    </row>
    <row r="257" spans="2:8">
      <c r="B257" s="400" t="s">
        <v>66</v>
      </c>
      <c r="D257" s="393"/>
      <c r="E257" s="394"/>
      <c r="F257" s="395"/>
      <c r="G257" s="396"/>
      <c r="H257" s="360"/>
    </row>
    <row r="258" spans="2:8" ht="42">
      <c r="B258" s="345" t="s">
        <v>174</v>
      </c>
      <c r="D258" s="393">
        <f>F258</f>
        <v>47500000</v>
      </c>
      <c r="E258" s="394"/>
      <c r="F258" s="395">
        <v>47500000</v>
      </c>
      <c r="G258" s="396"/>
      <c r="H258" s="360"/>
    </row>
    <row r="259" spans="2:8" ht="21.75" thickBot="1">
      <c r="B259" s="364" t="s">
        <v>179</v>
      </c>
      <c r="D259" s="398">
        <f>F259</f>
        <v>47499999</v>
      </c>
      <c r="E259" s="394"/>
      <c r="F259" s="399">
        <v>47499999</v>
      </c>
      <c r="G259" s="396"/>
      <c r="H259" s="360"/>
    </row>
    <row r="260" spans="2:8">
      <c r="B260" s="364"/>
      <c r="D260" s="395">
        <f>D258-D259</f>
        <v>1</v>
      </c>
      <c r="E260" s="394"/>
      <c r="F260" s="395">
        <f>F258-F259</f>
        <v>1</v>
      </c>
      <c r="G260" s="396"/>
      <c r="H260" s="360"/>
    </row>
    <row r="261" spans="2:8" ht="21">
      <c r="B261" s="397" t="s">
        <v>182</v>
      </c>
      <c r="D261" s="393"/>
      <c r="E261" s="394"/>
      <c r="F261" s="395"/>
      <c r="G261" s="396"/>
      <c r="H261" s="360"/>
    </row>
    <row r="262" spans="2:8" ht="31.5">
      <c r="B262" s="345" t="s">
        <v>176</v>
      </c>
      <c r="D262" s="393">
        <f>F262</f>
        <v>26000</v>
      </c>
      <c r="E262" s="394"/>
      <c r="F262" s="395">
        <v>26000</v>
      </c>
      <c r="G262" s="396"/>
      <c r="H262" s="360"/>
    </row>
    <row r="263" spans="2:8" ht="21.75" thickBot="1">
      <c r="B263" s="364" t="s">
        <v>179</v>
      </c>
      <c r="D263" s="398">
        <f>F263</f>
        <v>25999</v>
      </c>
      <c r="E263" s="394"/>
      <c r="F263" s="527">
        <v>25999</v>
      </c>
      <c r="G263" s="396"/>
      <c r="H263" s="360"/>
    </row>
    <row r="264" spans="2:8">
      <c r="B264" s="364"/>
      <c r="D264" s="393">
        <f>+D262-D263</f>
        <v>1</v>
      </c>
      <c r="E264" s="394"/>
      <c r="F264" s="395">
        <f>+F262-F263</f>
        <v>1</v>
      </c>
      <c r="G264" s="396"/>
      <c r="H264" s="360"/>
    </row>
    <row r="265" spans="2:8" ht="21">
      <c r="B265" s="400" t="s">
        <v>67</v>
      </c>
      <c r="D265" s="393"/>
      <c r="E265" s="394"/>
      <c r="F265" s="395"/>
      <c r="G265" s="396"/>
      <c r="H265" s="360"/>
    </row>
    <row r="266" spans="2:8" ht="31.5">
      <c r="B266" s="345" t="s">
        <v>177</v>
      </c>
      <c r="D266" s="393">
        <f>F266</f>
        <v>26000</v>
      </c>
      <c r="E266" s="394"/>
      <c r="F266" s="395">
        <v>26000</v>
      </c>
      <c r="G266" s="396"/>
      <c r="H266" s="360"/>
    </row>
    <row r="267" spans="2:8">
      <c r="B267" s="400" t="s">
        <v>68</v>
      </c>
      <c r="D267" s="393"/>
      <c r="E267" s="394"/>
      <c r="F267" s="395"/>
      <c r="G267" s="396"/>
      <c r="H267" s="360"/>
    </row>
    <row r="268" spans="2:8" ht="42">
      <c r="B268" s="345" t="s">
        <v>178</v>
      </c>
      <c r="D268" s="393">
        <f>F268</f>
        <v>174460000</v>
      </c>
      <c r="E268" s="394"/>
      <c r="F268" s="395">
        <v>174460000</v>
      </c>
      <c r="G268" s="396"/>
      <c r="H268" s="360"/>
    </row>
    <row r="269" spans="2:8">
      <c r="B269" s="400" t="s">
        <v>69</v>
      </c>
      <c r="D269" s="393"/>
      <c r="E269" s="394"/>
      <c r="F269" s="395"/>
      <c r="G269" s="396"/>
      <c r="H269" s="360"/>
    </row>
    <row r="270" spans="2:8" ht="31.5">
      <c r="B270" s="345" t="s">
        <v>52</v>
      </c>
      <c r="D270" s="393">
        <f>F270</f>
        <v>338000000</v>
      </c>
      <c r="E270" s="394"/>
      <c r="F270" s="395">
        <v>338000000</v>
      </c>
      <c r="G270" s="396"/>
      <c r="H270" s="360"/>
    </row>
    <row r="271" spans="2:8">
      <c r="B271" s="400" t="s">
        <v>70</v>
      </c>
      <c r="D271" s="393"/>
      <c r="E271" s="394"/>
      <c r="F271" s="395"/>
      <c r="G271" s="396"/>
      <c r="H271" s="360"/>
    </row>
    <row r="272" spans="2:8" ht="31.5">
      <c r="B272" s="345" t="s">
        <v>53</v>
      </c>
      <c r="D272" s="393">
        <f>F272</f>
        <v>29874000</v>
      </c>
      <c r="E272" s="394"/>
      <c r="F272" s="395">
        <v>29874000</v>
      </c>
      <c r="G272" s="396"/>
      <c r="H272" s="360"/>
    </row>
    <row r="273" spans="2:8">
      <c r="B273" s="392" t="s">
        <v>71</v>
      </c>
      <c r="D273" s="393"/>
      <c r="E273" s="394"/>
      <c r="F273" s="395"/>
      <c r="G273" s="396"/>
      <c r="H273" s="360"/>
    </row>
    <row r="274" spans="2:8" ht="31.5">
      <c r="B274" s="345" t="s">
        <v>54</v>
      </c>
      <c r="D274" s="393">
        <f>F274</f>
        <v>30000000</v>
      </c>
      <c r="E274" s="394"/>
      <c r="F274" s="395">
        <v>30000000</v>
      </c>
      <c r="G274" s="396"/>
      <c r="H274" s="360"/>
    </row>
    <row r="275" spans="2:8" ht="21">
      <c r="B275" s="392" t="s">
        <v>72</v>
      </c>
      <c r="D275" s="393"/>
      <c r="E275" s="394"/>
      <c r="F275" s="395"/>
      <c r="G275" s="396"/>
      <c r="H275" s="360"/>
    </row>
    <row r="276" spans="2:8" ht="39" customHeight="1">
      <c r="B276" s="345" t="s">
        <v>55</v>
      </c>
      <c r="D276" s="393">
        <f>F276</f>
        <v>260000000</v>
      </c>
      <c r="E276" s="394"/>
      <c r="F276" s="395">
        <v>260000000</v>
      </c>
      <c r="G276" s="396"/>
      <c r="H276" s="360"/>
    </row>
    <row r="277" spans="2:8" ht="15" customHeight="1">
      <c r="B277" s="392" t="s">
        <v>99</v>
      </c>
      <c r="D277" s="393"/>
      <c r="E277" s="394"/>
      <c r="F277" s="395"/>
      <c r="G277" s="396"/>
      <c r="H277" s="360"/>
    </row>
    <row r="278" spans="2:8" ht="32.25" thickBot="1">
      <c r="B278" s="345" t="s">
        <v>55</v>
      </c>
      <c r="D278" s="398">
        <f>+F278</f>
        <v>260000</v>
      </c>
      <c r="E278" s="394">
        <f>+SUM(D264:D278)+D260</f>
        <v>832620002</v>
      </c>
      <c r="F278" s="399">
        <v>260000</v>
      </c>
      <c r="G278" s="396">
        <f>+SUM(F264:F278)+F260</f>
        <v>832620002</v>
      </c>
      <c r="H278" s="360"/>
    </row>
    <row r="279" spans="2:8">
      <c r="B279" s="345"/>
      <c r="D279" s="393"/>
      <c r="E279" s="394"/>
      <c r="F279" s="395"/>
      <c r="G279" s="396"/>
      <c r="H279" s="360"/>
    </row>
    <row r="280" spans="2:8">
      <c r="B280" s="345"/>
      <c r="D280" s="393"/>
      <c r="E280" s="394"/>
      <c r="F280" s="395"/>
      <c r="G280" s="396"/>
      <c r="H280" s="360"/>
    </row>
    <row r="281" spans="2:8" ht="21">
      <c r="B281" s="392" t="s">
        <v>73</v>
      </c>
      <c r="D281" s="393"/>
      <c r="E281" s="394"/>
      <c r="F281" s="395"/>
      <c r="G281" s="396"/>
      <c r="H281" s="360"/>
    </row>
    <row r="282" spans="2:8">
      <c r="B282" s="345" t="s">
        <v>56</v>
      </c>
      <c r="D282" s="393"/>
      <c r="E282" s="394">
        <f>G282</f>
        <v>0</v>
      </c>
      <c r="F282" s="395"/>
      <c r="G282" s="396"/>
      <c r="H282" s="360"/>
    </row>
    <row r="283" spans="2:8">
      <c r="B283" s="392" t="s">
        <v>57</v>
      </c>
      <c r="D283" s="393"/>
      <c r="E283" s="394"/>
      <c r="F283" s="395"/>
      <c r="G283" s="396"/>
      <c r="H283" s="360"/>
    </row>
    <row r="284" spans="2:8">
      <c r="B284" s="781" t="s">
        <v>58</v>
      </c>
      <c r="D284" s="393"/>
      <c r="E284" s="394"/>
      <c r="F284" s="395"/>
      <c r="G284" s="396"/>
      <c r="H284" s="360"/>
    </row>
    <row r="285" spans="2:8" ht="21">
      <c r="B285" s="401" t="s">
        <v>183</v>
      </c>
      <c r="D285" s="393">
        <f>F285</f>
        <v>0</v>
      </c>
      <c r="E285" s="394"/>
      <c r="F285" s="395">
        <v>0</v>
      </c>
      <c r="G285" s="396"/>
      <c r="H285" s="360"/>
    </row>
    <row r="286" spans="2:8" ht="21">
      <c r="B286" s="401" t="s">
        <v>184</v>
      </c>
      <c r="D286" s="393">
        <f>F286</f>
        <v>0</v>
      </c>
      <c r="E286" s="394"/>
      <c r="F286" s="395">
        <v>0</v>
      </c>
      <c r="G286" s="396"/>
      <c r="H286" s="360"/>
    </row>
    <row r="287" spans="2:8" ht="15" customHeight="1" thickBot="1">
      <c r="B287" s="401" t="s">
        <v>185</v>
      </c>
      <c r="D287" s="398"/>
      <c r="E287" s="394">
        <f>+SUM(D284:D287)</f>
        <v>0</v>
      </c>
      <c r="F287" s="399">
        <v>0</v>
      </c>
      <c r="G287" s="396">
        <f>+SUM(F284:F287)</f>
        <v>0</v>
      </c>
      <c r="H287" s="360"/>
    </row>
    <row r="288" spans="2:8">
      <c r="B288" s="392" t="s">
        <v>59</v>
      </c>
      <c r="D288" s="393"/>
      <c r="E288" s="394">
        <v>0</v>
      </c>
      <c r="F288" s="395"/>
      <c r="G288" s="396">
        <v>0</v>
      </c>
      <c r="H288" s="360"/>
    </row>
    <row r="289" spans="2:21" ht="12" thickBot="1">
      <c r="B289" s="665" t="s">
        <v>806</v>
      </c>
      <c r="D289" s="398"/>
      <c r="E289" s="402">
        <f>SUM(E245:E288)</f>
        <v>4697359320</v>
      </c>
      <c r="F289" s="399"/>
      <c r="G289" s="403">
        <f>SUM(G245:G288)</f>
        <v>4661049927</v>
      </c>
      <c r="H289" s="360"/>
    </row>
    <row r="291" spans="2:21" ht="41.45" hidden="1" customHeight="1">
      <c r="B291" s="1484" t="s">
        <v>926</v>
      </c>
      <c r="C291" s="1484"/>
      <c r="D291" s="1484"/>
      <c r="E291" s="1484"/>
      <c r="F291" s="1484"/>
      <c r="G291" s="1484"/>
    </row>
    <row r="293" spans="2:21">
      <c r="B293" s="318" t="s">
        <v>74</v>
      </c>
    </row>
    <row r="295" spans="2:21" ht="12">
      <c r="B295" s="404" t="s">
        <v>1032</v>
      </c>
      <c r="C295" s="404"/>
      <c r="D295" s="404"/>
      <c r="E295" s="404"/>
      <c r="F295" s="404"/>
      <c r="G295" s="404"/>
      <c r="U295" s="405" t="s">
        <v>76</v>
      </c>
    </row>
    <row r="296" spans="2:21" ht="12.75" customHeight="1" thickBot="1">
      <c r="F296" s="335" t="s">
        <v>247</v>
      </c>
      <c r="L296" s="405"/>
    </row>
    <row r="297" spans="2:21" ht="35.450000000000003" customHeight="1" thickBot="1">
      <c r="B297" s="406" t="s">
        <v>77</v>
      </c>
      <c r="C297" s="407"/>
      <c r="D297" s="408" t="s">
        <v>972</v>
      </c>
      <c r="E297" s="409" t="s">
        <v>1201</v>
      </c>
      <c r="F297" s="790" t="s">
        <v>973</v>
      </c>
      <c r="I297" s="410"/>
      <c r="J297" s="410"/>
      <c r="K297" s="410"/>
      <c r="L297" s="410"/>
    </row>
    <row r="298" spans="2:21">
      <c r="B298" s="411" t="s">
        <v>78</v>
      </c>
      <c r="D298" s="240">
        <v>-194870000</v>
      </c>
      <c r="E298" s="240">
        <v>18180000</v>
      </c>
      <c r="F298" s="240">
        <f t="shared" ref="F298:F304" si="7">D298+E298</f>
        <v>-176690000</v>
      </c>
      <c r="I298" s="412"/>
      <c r="J298" s="244"/>
      <c r="K298" s="244"/>
      <c r="L298" s="244"/>
    </row>
    <row r="299" spans="2:21">
      <c r="B299" s="413" t="s">
        <v>194</v>
      </c>
      <c r="D299" s="241"/>
      <c r="E299" s="241"/>
      <c r="F299" s="241">
        <f t="shared" si="7"/>
        <v>0</v>
      </c>
      <c r="I299" s="412"/>
      <c r="J299" s="244"/>
      <c r="K299" s="244"/>
      <c r="L299" s="244"/>
    </row>
    <row r="300" spans="2:21">
      <c r="B300" s="413" t="s">
        <v>186</v>
      </c>
      <c r="D300" s="241">
        <v>807730000</v>
      </c>
      <c r="E300" s="241">
        <v>804980000</v>
      </c>
      <c r="F300" s="241">
        <f t="shared" si="7"/>
        <v>1612710000</v>
      </c>
      <c r="I300" s="412"/>
      <c r="J300" s="244"/>
      <c r="K300" s="244"/>
      <c r="L300" s="244"/>
    </row>
    <row r="301" spans="2:21">
      <c r="B301" s="413" t="s">
        <v>79</v>
      </c>
      <c r="D301" s="241"/>
      <c r="E301" s="241">
        <v>450000</v>
      </c>
      <c r="F301" s="241">
        <f t="shared" si="7"/>
        <v>450000</v>
      </c>
      <c r="I301" s="412"/>
      <c r="J301" s="244"/>
      <c r="K301" s="244"/>
      <c r="L301" s="244"/>
    </row>
    <row r="302" spans="2:21">
      <c r="B302" s="413" t="s">
        <v>80</v>
      </c>
      <c r="D302" s="241">
        <v>8560000</v>
      </c>
      <c r="E302" s="241">
        <v>9040000</v>
      </c>
      <c r="F302" s="241">
        <f t="shared" si="7"/>
        <v>17600000</v>
      </c>
      <c r="I302" s="412"/>
      <c r="J302" s="244"/>
      <c r="K302" s="244"/>
      <c r="L302" s="244"/>
    </row>
    <row r="303" spans="2:21">
      <c r="B303" s="413" t="s">
        <v>1202</v>
      </c>
      <c r="D303" s="241"/>
      <c r="E303" s="241">
        <v>160000</v>
      </c>
      <c r="F303" s="241">
        <f t="shared" si="7"/>
        <v>160000</v>
      </c>
      <c r="I303" s="412"/>
      <c r="J303" s="244"/>
      <c r="K303" s="244"/>
      <c r="L303" s="244"/>
    </row>
    <row r="304" spans="2:21">
      <c r="B304" s="413" t="s">
        <v>879</v>
      </c>
      <c r="D304" s="241">
        <v>93540000</v>
      </c>
      <c r="E304" s="241">
        <v>-93530000</v>
      </c>
      <c r="F304" s="241">
        <f t="shared" si="7"/>
        <v>10000</v>
      </c>
      <c r="I304" s="412"/>
      <c r="J304" s="244"/>
      <c r="K304" s="244"/>
      <c r="L304" s="244"/>
    </row>
    <row r="305" spans="2:35">
      <c r="B305" s="413"/>
      <c r="D305" s="241"/>
      <c r="E305" s="241"/>
      <c r="F305" s="241"/>
      <c r="I305" s="412"/>
      <c r="J305" s="244"/>
      <c r="K305" s="244"/>
      <c r="L305" s="244"/>
    </row>
    <row r="306" spans="2:35" ht="12" thickBot="1">
      <c r="B306" s="666" t="s">
        <v>860</v>
      </c>
      <c r="C306" s="248"/>
      <c r="D306" s="242">
        <f>SUM(D298:D305)</f>
        <v>714960000</v>
      </c>
      <c r="E306" s="242">
        <f>SUM(E298:E305)</f>
        <v>739280000</v>
      </c>
      <c r="F306" s="242">
        <f>SUM(F298:F305)</f>
        <v>1454240000</v>
      </c>
      <c r="I306" s="414"/>
      <c r="J306" s="244"/>
      <c r="K306" s="244"/>
      <c r="L306" s="244"/>
    </row>
    <row r="307" spans="2:35">
      <c r="E307" s="241"/>
    </row>
    <row r="308" spans="2:35">
      <c r="B308" s="335" t="s">
        <v>85</v>
      </c>
    </row>
    <row r="309" spans="2:35" ht="12" thickBot="1">
      <c r="G309" s="335" t="s">
        <v>247</v>
      </c>
    </row>
    <row r="310" spans="2:35" ht="12.75" customHeight="1" thickBot="1">
      <c r="B310" s="339"/>
      <c r="C310" s="333"/>
      <c r="D310" s="1463" t="s">
        <v>860</v>
      </c>
      <c r="E310" s="1464"/>
      <c r="F310" s="1463" t="s">
        <v>17</v>
      </c>
      <c r="G310" s="1464"/>
      <c r="H310" s="1463" t="s">
        <v>18</v>
      </c>
      <c r="I310" s="1464"/>
      <c r="J310" s="1463" t="s">
        <v>19</v>
      </c>
      <c r="K310" s="1464"/>
      <c r="L310" s="1463" t="s">
        <v>20</v>
      </c>
      <c r="M310" s="1464"/>
      <c r="N310" s="1463" t="s">
        <v>21</v>
      </c>
      <c r="O310" s="1464"/>
      <c r="P310" s="1463" t="s">
        <v>22</v>
      </c>
      <c r="Q310" s="1464"/>
      <c r="R310" s="1463" t="s">
        <v>23</v>
      </c>
      <c r="S310" s="1464"/>
      <c r="T310" s="1463" t="s">
        <v>24</v>
      </c>
      <c r="U310" s="1464"/>
      <c r="V310" s="1463" t="s">
        <v>25</v>
      </c>
      <c r="W310" s="1464"/>
      <c r="X310" s="1463" t="s">
        <v>26</v>
      </c>
      <c r="Y310" s="1464"/>
      <c r="Z310" s="1463" t="s">
        <v>27</v>
      </c>
      <c r="AA310" s="1464"/>
      <c r="AB310" s="1463" t="s">
        <v>28</v>
      </c>
      <c r="AC310" s="1464"/>
      <c r="AD310" s="1463" t="s">
        <v>29</v>
      </c>
      <c r="AE310" s="1464"/>
      <c r="AF310" s="1463" t="s">
        <v>30</v>
      </c>
      <c r="AG310" s="1464"/>
      <c r="AH310" s="1463" t="s">
        <v>31</v>
      </c>
      <c r="AI310" s="1464"/>
    </row>
    <row r="311" spans="2:35" hidden="1">
      <c r="B311" s="791" t="s">
        <v>94</v>
      </c>
      <c r="C311" s="244"/>
      <c r="D311" s="249"/>
      <c r="E311" s="250"/>
      <c r="F311" s="249"/>
      <c r="G311" s="250"/>
      <c r="H311" s="244"/>
      <c r="I311" s="243"/>
      <c r="J311" s="244"/>
      <c r="K311" s="243"/>
      <c r="L311" s="244"/>
      <c r="M311" s="243"/>
      <c r="N311" s="244"/>
      <c r="O311" s="243"/>
      <c r="P311" s="244"/>
      <c r="Q311" s="243"/>
      <c r="R311" s="244"/>
      <c r="S311" s="243"/>
      <c r="T311" s="244"/>
      <c r="U311" s="243"/>
      <c r="V311" s="341"/>
      <c r="W311" s="243"/>
      <c r="X311" s="244"/>
      <c r="Y311" s="243"/>
      <c r="Z311" s="244"/>
      <c r="AA311" s="243"/>
      <c r="AB311" s="244"/>
      <c r="AC311" s="243"/>
      <c r="AD311" s="244"/>
      <c r="AE311" s="243"/>
      <c r="AF311" s="244"/>
      <c r="AG311" s="243"/>
      <c r="AH311" s="244"/>
      <c r="AI311" s="243"/>
    </row>
    <row r="312" spans="2:35" hidden="1">
      <c r="B312" s="327" t="s">
        <v>86</v>
      </c>
      <c r="C312" s="244"/>
      <c r="D312" s="237">
        <f>F312+H312+J312+L312+N312+P312+R312+T312+V312+X312+Z312+AB312+AD312+AF312+AH312</f>
        <v>0</v>
      </c>
      <c r="E312" s="243"/>
      <c r="F312" s="237"/>
      <c r="G312" s="243"/>
      <c r="H312" s="244"/>
      <c r="I312" s="243"/>
      <c r="J312" s="244"/>
      <c r="K312" s="243"/>
      <c r="L312" s="244"/>
      <c r="M312" s="243"/>
      <c r="N312" s="244"/>
      <c r="O312" s="243"/>
      <c r="P312" s="244"/>
      <c r="Q312" s="243"/>
      <c r="R312" s="244"/>
      <c r="S312" s="243"/>
      <c r="T312" s="244"/>
      <c r="U312" s="243"/>
      <c r="V312" s="341"/>
      <c r="W312" s="243"/>
      <c r="X312" s="244"/>
      <c r="Y312" s="243"/>
      <c r="Z312" s="244"/>
      <c r="AA312" s="243"/>
      <c r="AB312" s="244"/>
      <c r="AC312" s="243"/>
      <c r="AD312" s="244"/>
      <c r="AE312" s="243"/>
      <c r="AF312" s="244"/>
      <c r="AG312" s="243"/>
      <c r="AH312" s="244"/>
      <c r="AI312" s="243"/>
    </row>
    <row r="313" spans="2:35" hidden="1">
      <c r="B313" s="327" t="s">
        <v>87</v>
      </c>
      <c r="C313" s="244"/>
      <c r="D313" s="237">
        <f>F313+H313+J313+L313+N313+P313+R313+T313+V313+X313+Z313+AB313+AD313+AF313+AH313</f>
        <v>0</v>
      </c>
      <c r="E313" s="243"/>
      <c r="F313" s="237"/>
      <c r="G313" s="243"/>
      <c r="H313" s="244"/>
      <c r="I313" s="243"/>
      <c r="J313" s="244"/>
      <c r="K313" s="243"/>
      <c r="L313" s="244"/>
      <c r="M313" s="243"/>
      <c r="N313" s="244"/>
      <c r="O313" s="243"/>
      <c r="P313" s="244"/>
      <c r="Q313" s="243"/>
      <c r="R313" s="244"/>
      <c r="S313" s="243"/>
      <c r="T313" s="244"/>
      <c r="U313" s="243"/>
      <c r="V313" s="341"/>
      <c r="W313" s="243"/>
      <c r="X313" s="244"/>
      <c r="Y313" s="243"/>
      <c r="Z313" s="244"/>
      <c r="AA313" s="243"/>
      <c r="AB313" s="244"/>
      <c r="AC313" s="243"/>
      <c r="AD313" s="244"/>
      <c r="AE313" s="243"/>
      <c r="AF313" s="244"/>
      <c r="AG313" s="243"/>
      <c r="AH313" s="244"/>
      <c r="AI313" s="243"/>
    </row>
    <row r="314" spans="2:35" ht="12" hidden="1" thickBot="1">
      <c r="B314" s="327" t="s">
        <v>88</v>
      </c>
      <c r="C314" s="244"/>
      <c r="D314" s="245">
        <f>F314+H314+J314+L314+N314+P314+R314+T314+V314+X314+Z314+AB314+AD314+AF314+AH314</f>
        <v>0</v>
      </c>
      <c r="E314" s="243"/>
      <c r="F314" s="245"/>
      <c r="G314" s="243"/>
      <c r="H314" s="248"/>
      <c r="I314" s="243"/>
      <c r="J314" s="245"/>
      <c r="K314" s="243"/>
      <c r="L314" s="245"/>
      <c r="M314" s="243"/>
      <c r="N314" s="245"/>
      <c r="O314" s="243"/>
      <c r="P314" s="245"/>
      <c r="Q314" s="243"/>
      <c r="R314" s="245"/>
      <c r="S314" s="243"/>
      <c r="T314" s="245"/>
      <c r="U314" s="243"/>
      <c r="V314" s="344"/>
      <c r="W314" s="243"/>
      <c r="X314" s="245"/>
      <c r="Y314" s="243"/>
      <c r="Z314" s="245"/>
      <c r="AA314" s="243"/>
      <c r="AB314" s="245"/>
      <c r="AC314" s="243"/>
      <c r="AD314" s="245"/>
      <c r="AE314" s="243"/>
      <c r="AF314" s="245"/>
      <c r="AG314" s="243"/>
      <c r="AH314" s="245"/>
      <c r="AI314" s="243"/>
    </row>
    <row r="315" spans="2:35" hidden="1">
      <c r="B315" s="327" t="s">
        <v>89</v>
      </c>
      <c r="C315" s="244"/>
      <c r="D315" s="237">
        <f>+SUM(D312:D314)</f>
        <v>0</v>
      </c>
      <c r="E315" s="243"/>
      <c r="F315" s="237">
        <f>+SUM(F312:F314)</f>
        <v>0</v>
      </c>
      <c r="G315" s="243"/>
      <c r="H315" s="244">
        <f>+SUM(H312:H314)</f>
        <v>0</v>
      </c>
      <c r="I315" s="243"/>
      <c r="J315" s="237">
        <f>+SUM(J312:J314)</f>
        <v>0</v>
      </c>
      <c r="K315" s="243"/>
      <c r="L315" s="237">
        <f>+SUM(L312:L314)</f>
        <v>0</v>
      </c>
      <c r="M315" s="243"/>
      <c r="N315" s="237">
        <f>+SUM(N312:N314)</f>
        <v>0</v>
      </c>
      <c r="O315" s="243"/>
      <c r="P315" s="237">
        <f>+SUM(P312:P314)</f>
        <v>0</v>
      </c>
      <c r="Q315" s="243"/>
      <c r="R315" s="237">
        <f>+SUM(R312:R314)</f>
        <v>0</v>
      </c>
      <c r="S315" s="243"/>
      <c r="T315" s="237">
        <f>+SUM(T312:T314)</f>
        <v>0</v>
      </c>
      <c r="U315" s="243"/>
      <c r="V315" s="348">
        <f>+SUM(V312:V314)</f>
        <v>0</v>
      </c>
      <c r="W315" s="243"/>
      <c r="X315" s="237">
        <f>+SUM(X312:X314)</f>
        <v>0</v>
      </c>
      <c r="Y315" s="243"/>
      <c r="Z315" s="237">
        <f>+SUM(Z312:Z314)</f>
        <v>0</v>
      </c>
      <c r="AA315" s="243"/>
      <c r="AB315" s="237">
        <f>+SUM(AB312:AB314)</f>
        <v>0</v>
      </c>
      <c r="AC315" s="243"/>
      <c r="AD315" s="237">
        <f>+SUM(AD312:AD314)</f>
        <v>0</v>
      </c>
      <c r="AE315" s="243"/>
      <c r="AF315" s="237">
        <f>+SUM(AF312:AF314)</f>
        <v>0</v>
      </c>
      <c r="AG315" s="243"/>
      <c r="AH315" s="237">
        <f>+SUM(AH312:AH314)</f>
        <v>0</v>
      </c>
      <c r="AI315" s="243"/>
    </row>
    <row r="316" spans="2:35" ht="21.75" hidden="1" thickBot="1">
      <c r="B316" s="327" t="s">
        <v>92</v>
      </c>
      <c r="C316" s="244"/>
      <c r="D316" s="245">
        <f>F316+H316+J316+L316+N316+P316+R316+T316+V316+X316+Z316+AB316+AD316+AF316+AH316</f>
        <v>0</v>
      </c>
      <c r="E316" s="243">
        <f>+D315-D316</f>
        <v>0</v>
      </c>
      <c r="F316" s="245"/>
      <c r="G316" s="243">
        <f>+F315-F316</f>
        <v>0</v>
      </c>
      <c r="H316" s="248"/>
      <c r="I316" s="243">
        <f>+H315-H316</f>
        <v>0</v>
      </c>
      <c r="J316" s="245"/>
      <c r="K316" s="243">
        <f>+J315-J316</f>
        <v>0</v>
      </c>
      <c r="L316" s="245"/>
      <c r="M316" s="243">
        <f>+L315-L316</f>
        <v>0</v>
      </c>
      <c r="N316" s="245"/>
      <c r="O316" s="243">
        <f>+N315-N316</f>
        <v>0</v>
      </c>
      <c r="P316" s="245"/>
      <c r="Q316" s="243">
        <f>+P315-P316</f>
        <v>0</v>
      </c>
      <c r="R316" s="245"/>
      <c r="S316" s="243">
        <f>+R315-R316</f>
        <v>0</v>
      </c>
      <c r="T316" s="245"/>
      <c r="U316" s="243">
        <f>+T315-T316</f>
        <v>0</v>
      </c>
      <c r="V316" s="344"/>
      <c r="W316" s="243">
        <f>+V315-V316</f>
        <v>0</v>
      </c>
      <c r="X316" s="245"/>
      <c r="Y316" s="243">
        <f>+X315-X316</f>
        <v>0</v>
      </c>
      <c r="Z316" s="245"/>
      <c r="AA316" s="243">
        <f>+Z315-Z316</f>
        <v>0</v>
      </c>
      <c r="AB316" s="245"/>
      <c r="AC316" s="243">
        <f>+AB315-AB316</f>
        <v>0</v>
      </c>
      <c r="AD316" s="245"/>
      <c r="AE316" s="243">
        <f>+AD315-AD316</f>
        <v>0</v>
      </c>
      <c r="AF316" s="245"/>
      <c r="AG316" s="243">
        <f>+AF315-AF316</f>
        <v>0</v>
      </c>
      <c r="AH316" s="245"/>
      <c r="AI316" s="243">
        <f>+AH315-AH316</f>
        <v>0</v>
      </c>
    </row>
    <row r="317" spans="2:35">
      <c r="B317" s="327"/>
      <c r="C317" s="244"/>
      <c r="D317" s="237"/>
      <c r="E317" s="243"/>
      <c r="F317" s="237"/>
      <c r="G317" s="243"/>
      <c r="H317" s="244"/>
      <c r="I317" s="243"/>
      <c r="J317" s="237"/>
      <c r="K317" s="243"/>
      <c r="L317" s="237"/>
      <c r="M317" s="243"/>
      <c r="N317" s="237"/>
      <c r="O317" s="243"/>
      <c r="P317" s="237"/>
      <c r="Q317" s="243"/>
      <c r="R317" s="237"/>
      <c r="S317" s="243"/>
      <c r="T317" s="237"/>
      <c r="U317" s="243"/>
      <c r="V317" s="348"/>
      <c r="W317" s="243"/>
      <c r="X317" s="237"/>
      <c r="Y317" s="243"/>
      <c r="Z317" s="237"/>
      <c r="AA317" s="243"/>
      <c r="AB317" s="237"/>
      <c r="AC317" s="243"/>
      <c r="AD317" s="237"/>
      <c r="AE317" s="243"/>
      <c r="AF317" s="237"/>
      <c r="AG317" s="243"/>
      <c r="AH317" s="237"/>
      <c r="AI317" s="243"/>
    </row>
    <row r="318" spans="2:35">
      <c r="B318" s="791" t="s">
        <v>712</v>
      </c>
      <c r="C318" s="244"/>
      <c r="D318" s="237"/>
      <c r="E318" s="243"/>
      <c r="F318" s="237"/>
      <c r="G318" s="243"/>
      <c r="H318" s="244"/>
      <c r="I318" s="243"/>
      <c r="J318" s="237"/>
      <c r="K318" s="243"/>
      <c r="L318" s="237"/>
      <c r="M318" s="243"/>
      <c r="N318" s="237"/>
      <c r="O318" s="243"/>
      <c r="P318" s="237"/>
      <c r="Q318" s="243"/>
      <c r="R318" s="237"/>
      <c r="S318" s="243"/>
      <c r="T318" s="237"/>
      <c r="U318" s="243"/>
      <c r="V318" s="348"/>
      <c r="W318" s="243"/>
      <c r="X318" s="237"/>
      <c r="Y318" s="243"/>
      <c r="Z318" s="237"/>
      <c r="AA318" s="243"/>
      <c r="AB318" s="237"/>
      <c r="AC318" s="243"/>
      <c r="AD318" s="237"/>
      <c r="AE318" s="243"/>
      <c r="AF318" s="237"/>
      <c r="AG318" s="243"/>
      <c r="AH318" s="237"/>
      <c r="AI318" s="243"/>
    </row>
    <row r="319" spans="2:35">
      <c r="B319" s="382" t="s">
        <v>96</v>
      </c>
      <c r="C319" s="244"/>
      <c r="D319" s="237">
        <f>F319+H319+J319+L319+N319+P319+R319+T319+V319+X319+Z319+AB319+AD319+AF319+AH319</f>
        <v>49460113</v>
      </c>
      <c r="E319" s="243"/>
      <c r="F319" s="237"/>
      <c r="G319" s="243"/>
      <c r="H319" s="244"/>
      <c r="I319" s="243"/>
      <c r="J319" s="237"/>
      <c r="K319" s="243"/>
      <c r="L319" s="237"/>
      <c r="M319" s="243"/>
      <c r="N319" s="237"/>
      <c r="O319" s="243"/>
      <c r="P319" s="237"/>
      <c r="Q319" s="243"/>
      <c r="R319" s="237"/>
      <c r="S319" s="243"/>
      <c r="T319" s="237"/>
      <c r="U319" s="243"/>
      <c r="V319" s="348"/>
      <c r="W319" s="243"/>
      <c r="X319" s="237"/>
      <c r="Y319" s="243"/>
      <c r="Z319" s="237">
        <v>49460113</v>
      </c>
      <c r="AA319" s="243"/>
      <c r="AB319" s="237"/>
      <c r="AC319" s="243"/>
      <c r="AD319" s="237"/>
      <c r="AE319" s="243"/>
      <c r="AF319" s="237"/>
      <c r="AG319" s="243"/>
      <c r="AH319" s="237"/>
      <c r="AI319" s="243"/>
    </row>
    <row r="320" spans="2:35">
      <c r="B320" s="382" t="s">
        <v>975</v>
      </c>
      <c r="C320" s="244"/>
      <c r="D320" s="237">
        <f>F320+H320+J320+L320+N320+P320+R320+T320+V320+X320+Z320+AB320+AD320+AF320+AH320</f>
        <v>36731557</v>
      </c>
      <c r="E320" s="243"/>
      <c r="F320" s="237">
        <v>14082918</v>
      </c>
      <c r="G320" s="243"/>
      <c r="H320" s="244"/>
      <c r="I320" s="243"/>
      <c r="J320" s="237"/>
      <c r="K320" s="243"/>
      <c r="L320" s="237"/>
      <c r="M320" s="243"/>
      <c r="N320" s="237"/>
      <c r="O320" s="243"/>
      <c r="P320" s="755">
        <v>13470164</v>
      </c>
      <c r="Q320" s="243"/>
      <c r="R320" s="237">
        <v>39997</v>
      </c>
      <c r="S320" s="243"/>
      <c r="T320" s="237"/>
      <c r="U320" s="243"/>
      <c r="V320" s="348"/>
      <c r="W320" s="243"/>
      <c r="X320" s="237">
        <v>60026</v>
      </c>
      <c r="Y320" s="243"/>
      <c r="Z320" s="237"/>
      <c r="AA320" s="243"/>
      <c r="AB320" s="237"/>
      <c r="AC320" s="243"/>
      <c r="AD320" s="237"/>
      <c r="AE320" s="243"/>
      <c r="AF320" s="237">
        <v>8138297</v>
      </c>
      <c r="AG320" s="243"/>
      <c r="AH320" s="237">
        <v>940155</v>
      </c>
      <c r="AI320" s="243"/>
    </row>
    <row r="321" spans="2:35" ht="12" thickBot="1">
      <c r="B321" s="327" t="s">
        <v>976</v>
      </c>
      <c r="C321" s="244"/>
      <c r="D321" s="245">
        <f>F321+H321+J321+L321+N321+P321+R321+T321+V321+X321+Z321+AB321+AD321+AF321+AH321</f>
        <v>37446862</v>
      </c>
      <c r="E321" s="243"/>
      <c r="F321" s="245">
        <v>36823250</v>
      </c>
      <c r="G321" s="243"/>
      <c r="H321" s="248"/>
      <c r="I321" s="243"/>
      <c r="J321" s="245"/>
      <c r="K321" s="243"/>
      <c r="L321" s="245"/>
      <c r="M321" s="243"/>
      <c r="N321" s="245"/>
      <c r="O321" s="243"/>
      <c r="P321" s="245"/>
      <c r="Q321" s="243"/>
      <c r="R321" s="245"/>
      <c r="S321" s="243"/>
      <c r="T321" s="245"/>
      <c r="U321" s="243"/>
      <c r="V321" s="344"/>
      <c r="W321" s="243"/>
      <c r="X321" s="245"/>
      <c r="Y321" s="243"/>
      <c r="Z321" s="245"/>
      <c r="AA321" s="243"/>
      <c r="AB321" s="245">
        <v>623612</v>
      </c>
      <c r="AC321" s="243"/>
      <c r="AD321" s="245"/>
      <c r="AE321" s="243"/>
      <c r="AF321" s="245"/>
      <c r="AG321" s="243"/>
      <c r="AH321" s="245"/>
      <c r="AI321" s="243"/>
    </row>
    <row r="322" spans="2:35">
      <c r="B322" s="327" t="s">
        <v>93</v>
      </c>
      <c r="C322" s="244"/>
      <c r="D322" s="237">
        <f>+SUM(D319:D321)</f>
        <v>123638532</v>
      </c>
      <c r="E322" s="243"/>
      <c r="F322" s="237">
        <f>+SUM(F319:F321)</f>
        <v>50906168</v>
      </c>
      <c r="G322" s="243"/>
      <c r="H322" s="244">
        <f>+SUM(H319:H321)</f>
        <v>0</v>
      </c>
      <c r="I322" s="243"/>
      <c r="J322" s="237">
        <f>+SUM(J319:J321)</f>
        <v>0</v>
      </c>
      <c r="K322" s="243"/>
      <c r="L322" s="237">
        <f>+SUM(L319:L321)</f>
        <v>0</v>
      </c>
      <c r="M322" s="243"/>
      <c r="N322" s="237">
        <f>+SUM(N319:N321)</f>
        <v>0</v>
      </c>
      <c r="O322" s="243"/>
      <c r="P322" s="237">
        <f>+SUM(P319:P321)</f>
        <v>13470164</v>
      </c>
      <c r="Q322" s="243"/>
      <c r="R322" s="237">
        <f>+SUM(R319:R321)</f>
        <v>39997</v>
      </c>
      <c r="S322" s="243"/>
      <c r="T322" s="237">
        <f>+SUM(T319:T321)</f>
        <v>0</v>
      </c>
      <c r="U322" s="243"/>
      <c r="V322" s="348">
        <f>+SUM(V319:V321)</f>
        <v>0</v>
      </c>
      <c r="W322" s="243"/>
      <c r="X322" s="237">
        <f>+SUM(X319:X321)</f>
        <v>60026</v>
      </c>
      <c r="Y322" s="243"/>
      <c r="Z322" s="237">
        <f>+SUM(Z319:Z321)</f>
        <v>49460113</v>
      </c>
      <c r="AA322" s="243"/>
      <c r="AB322" s="237">
        <f>+SUM(AB319:AB321)</f>
        <v>623612</v>
      </c>
      <c r="AC322" s="243"/>
      <c r="AD322" s="237">
        <f>+SUM(AD319:AD321)</f>
        <v>0</v>
      </c>
      <c r="AE322" s="243"/>
      <c r="AF322" s="237">
        <f>+SUM(AF319:AF321)</f>
        <v>8138297</v>
      </c>
      <c r="AG322" s="243"/>
      <c r="AH322" s="237">
        <f>+SUM(AH319:AH321)</f>
        <v>940155</v>
      </c>
      <c r="AI322" s="243"/>
    </row>
    <row r="323" spans="2:35" ht="21.75" thickBot="1">
      <c r="B323" s="327" t="s">
        <v>92</v>
      </c>
      <c r="C323" s="244"/>
      <c r="D323" s="245">
        <f>F323+H323+J323+L323+N323+P323+R323+T323+V323+X323+Z323+AB323+AD323+AF323+AH323</f>
        <v>37446862</v>
      </c>
      <c r="E323" s="243">
        <f>+D322-D323</f>
        <v>86191670</v>
      </c>
      <c r="F323" s="245">
        <f>+F321</f>
        <v>36823250</v>
      </c>
      <c r="G323" s="243">
        <f>+F322-F323</f>
        <v>14082918</v>
      </c>
      <c r="H323" s="248"/>
      <c r="I323" s="243">
        <f>+H322-H323</f>
        <v>0</v>
      </c>
      <c r="J323" s="245"/>
      <c r="K323" s="243">
        <f>+J322-J323</f>
        <v>0</v>
      </c>
      <c r="L323" s="245"/>
      <c r="M323" s="243">
        <f>+L322-L323</f>
        <v>0</v>
      </c>
      <c r="N323" s="245"/>
      <c r="O323" s="243">
        <f>+N322-N323</f>
        <v>0</v>
      </c>
      <c r="P323" s="245"/>
      <c r="Q323" s="243">
        <f>+P322-P323</f>
        <v>13470164</v>
      </c>
      <c r="R323" s="245"/>
      <c r="S323" s="243">
        <f>+R322-R323</f>
        <v>39997</v>
      </c>
      <c r="T323" s="245"/>
      <c r="U323" s="243">
        <f>+T322-T323</f>
        <v>0</v>
      </c>
      <c r="V323" s="344"/>
      <c r="W323" s="243">
        <f>+V322-V323</f>
        <v>0</v>
      </c>
      <c r="X323" s="245"/>
      <c r="Y323" s="243">
        <f>+X322-X323</f>
        <v>60026</v>
      </c>
      <c r="Z323" s="245"/>
      <c r="AA323" s="243">
        <f>+Z322-Z323</f>
        <v>49460113</v>
      </c>
      <c r="AB323" s="245">
        <f>AB321</f>
        <v>623612</v>
      </c>
      <c r="AC323" s="243">
        <f>+AB322-AB323</f>
        <v>0</v>
      </c>
      <c r="AD323" s="245"/>
      <c r="AE323" s="243">
        <f>+AD322-AD323</f>
        <v>0</v>
      </c>
      <c r="AF323" s="245"/>
      <c r="AG323" s="243">
        <f>+AF322-AF323</f>
        <v>8138297</v>
      </c>
      <c r="AH323" s="245"/>
      <c r="AI323" s="243">
        <f>+AH322-AH323</f>
        <v>940155</v>
      </c>
    </row>
    <row r="324" spans="2:35">
      <c r="B324" s="327"/>
      <c r="C324" s="244"/>
      <c r="D324" s="237"/>
      <c r="E324" s="243"/>
      <c r="F324" s="237"/>
      <c r="G324" s="243"/>
      <c r="H324" s="244"/>
      <c r="I324" s="243"/>
      <c r="J324" s="237"/>
      <c r="K324" s="243"/>
      <c r="L324" s="237"/>
      <c r="M324" s="243"/>
      <c r="N324" s="237"/>
      <c r="O324" s="243"/>
      <c r="P324" s="237"/>
      <c r="Q324" s="243"/>
      <c r="R324" s="237"/>
      <c r="S324" s="243"/>
      <c r="T324" s="237"/>
      <c r="U324" s="243"/>
      <c r="V324" s="348"/>
      <c r="W324" s="243"/>
      <c r="X324" s="237"/>
      <c r="Y324" s="243"/>
      <c r="Z324" s="237"/>
      <c r="AA324" s="243"/>
      <c r="AB324" s="237"/>
      <c r="AC324" s="243"/>
      <c r="AD324" s="237"/>
      <c r="AE324" s="243"/>
      <c r="AF324" s="237"/>
      <c r="AG324" s="243"/>
      <c r="AH324" s="237"/>
      <c r="AI324" s="243"/>
    </row>
    <row r="325" spans="2:35" ht="21">
      <c r="B325" s="415" t="s">
        <v>974</v>
      </c>
      <c r="C325" s="382"/>
      <c r="D325" s="382"/>
      <c r="E325" s="416"/>
      <c r="F325" s="382"/>
      <c r="G325" s="416"/>
      <c r="H325" s="244"/>
      <c r="I325" s="243"/>
      <c r="J325" s="237"/>
      <c r="K325" s="243"/>
      <c r="L325" s="237"/>
      <c r="M325" s="243"/>
      <c r="N325" s="237"/>
      <c r="O325" s="243"/>
      <c r="P325" s="237"/>
      <c r="Q325" s="243"/>
      <c r="R325" s="237"/>
      <c r="S325" s="243"/>
      <c r="T325" s="237"/>
      <c r="U325" s="243"/>
      <c r="V325" s="348"/>
      <c r="W325" s="243"/>
      <c r="X325" s="237"/>
      <c r="Y325" s="243"/>
      <c r="Z325" s="237"/>
      <c r="AA325" s="243"/>
      <c r="AB325" s="237"/>
      <c r="AC325" s="243"/>
      <c r="AD325" s="237"/>
      <c r="AE325" s="243"/>
      <c r="AF325" s="237"/>
      <c r="AG325" s="243"/>
      <c r="AH325" s="237"/>
      <c r="AI325" s="243"/>
    </row>
    <row r="326" spans="2:35">
      <c r="B326" s="382" t="s">
        <v>96</v>
      </c>
      <c r="C326" s="382"/>
      <c r="D326" s="237">
        <f>F326+H326+J326+L326+N326+P326+R326+T326+V326+X326+Z326+AB326+AD326+AF326+AH326</f>
        <v>0</v>
      </c>
      <c r="E326" s="416"/>
      <c r="F326" s="417"/>
      <c r="G326" s="416"/>
      <c r="H326" s="244"/>
      <c r="I326" s="243"/>
      <c r="J326" s="237"/>
      <c r="K326" s="243"/>
      <c r="L326" s="237"/>
      <c r="M326" s="243"/>
      <c r="N326" s="237"/>
      <c r="O326" s="243"/>
      <c r="P326" s="237"/>
      <c r="Q326" s="243"/>
      <c r="R326" s="237"/>
      <c r="S326" s="243"/>
      <c r="T326" s="237"/>
      <c r="U326" s="243"/>
      <c r="V326" s="348"/>
      <c r="W326" s="243"/>
      <c r="X326" s="237"/>
      <c r="Y326" s="243"/>
      <c r="Z326" s="237"/>
      <c r="AA326" s="243"/>
      <c r="AB326" s="237"/>
      <c r="AC326" s="243"/>
      <c r="AD326" s="237"/>
      <c r="AE326" s="243"/>
      <c r="AF326" s="237"/>
      <c r="AG326" s="243"/>
      <c r="AH326" s="237"/>
      <c r="AI326" s="243"/>
    </row>
    <row r="327" spans="2:35">
      <c r="B327" s="382" t="s">
        <v>975</v>
      </c>
      <c r="C327" s="382"/>
      <c r="D327" s="237">
        <f>F327+H327+J327+L327+N327+P327+R327+T327+V327+X327+Z327+AB327+AD327+AF327+AH327</f>
        <v>3560995</v>
      </c>
      <c r="E327" s="416"/>
      <c r="F327" s="237">
        <v>3560995</v>
      </c>
      <c r="G327" s="243"/>
      <c r="H327" s="244"/>
      <c r="I327" s="243"/>
      <c r="J327" s="237"/>
      <c r="K327" s="243"/>
      <c r="L327" s="237"/>
      <c r="M327" s="243"/>
      <c r="N327" s="237"/>
      <c r="O327" s="243"/>
      <c r="P327" s="755"/>
      <c r="Q327" s="243"/>
      <c r="R327" s="237"/>
      <c r="S327" s="243"/>
      <c r="T327" s="237"/>
      <c r="U327" s="243"/>
      <c r="V327" s="348"/>
      <c r="W327" s="243"/>
      <c r="X327" s="237"/>
      <c r="Y327" s="243"/>
      <c r="Z327" s="237"/>
      <c r="AA327" s="243"/>
      <c r="AB327" s="237"/>
      <c r="AC327" s="243"/>
      <c r="AD327" s="237"/>
      <c r="AE327" s="243"/>
      <c r="AF327" s="237"/>
      <c r="AG327" s="243"/>
      <c r="AH327" s="237"/>
      <c r="AI327" s="243"/>
    </row>
    <row r="328" spans="2:35" ht="12" thickBot="1">
      <c r="B328" s="327" t="s">
        <v>976</v>
      </c>
      <c r="C328" s="382"/>
      <c r="D328" s="245">
        <f>F328+H328+J328+L328+N328+P328+R328+T328+V328+X328+Z328+AB328+AD328+AF328+AH328</f>
        <v>4847730</v>
      </c>
      <c r="E328" s="416"/>
      <c r="F328" s="245">
        <v>4847730</v>
      </c>
      <c r="G328" s="243"/>
      <c r="H328" s="245"/>
      <c r="I328" s="243"/>
      <c r="J328" s="245"/>
      <c r="K328" s="243"/>
      <c r="L328" s="245"/>
      <c r="M328" s="243"/>
      <c r="N328" s="245"/>
      <c r="O328" s="243"/>
      <c r="P328" s="245"/>
      <c r="Q328" s="243"/>
      <c r="R328" s="245"/>
      <c r="S328" s="243"/>
      <c r="T328" s="245"/>
      <c r="U328" s="243"/>
      <c r="V328" s="245"/>
      <c r="W328" s="243"/>
      <c r="X328" s="245"/>
      <c r="Y328" s="243"/>
      <c r="Z328" s="245"/>
      <c r="AA328" s="243"/>
      <c r="AB328" s="245"/>
      <c r="AC328" s="243"/>
      <c r="AD328" s="245"/>
      <c r="AE328" s="243"/>
      <c r="AF328" s="245"/>
      <c r="AG328" s="243"/>
      <c r="AH328" s="245"/>
      <c r="AI328" s="243"/>
    </row>
    <row r="329" spans="2:35">
      <c r="B329" s="327" t="s">
        <v>93</v>
      </c>
      <c r="C329" s="382"/>
      <c r="D329" s="237">
        <f>+SUM(D326:D328)</f>
        <v>8408725</v>
      </c>
      <c r="E329" s="416"/>
      <c r="F329" s="237">
        <f>+SUM(F326:F328)</f>
        <v>8408725</v>
      </c>
      <c r="G329" s="243"/>
      <c r="H329" s="237">
        <f>+SUM(H326:H328)</f>
        <v>0</v>
      </c>
      <c r="I329" s="243"/>
      <c r="J329" s="237">
        <f>+SUM(J326:J328)</f>
        <v>0</v>
      </c>
      <c r="K329" s="243"/>
      <c r="L329" s="237">
        <f>+SUM(L326:L328)</f>
        <v>0</v>
      </c>
      <c r="M329" s="243"/>
      <c r="N329" s="237">
        <f>+SUM(N326:N328)</f>
        <v>0</v>
      </c>
      <c r="O329" s="243"/>
      <c r="P329" s="755">
        <f>+SUM(P326:P328)</f>
        <v>0</v>
      </c>
      <c r="Q329" s="243"/>
      <c r="R329" s="237">
        <f>+SUM(R326:R328)</f>
        <v>0</v>
      </c>
      <c r="S329" s="243"/>
      <c r="T329" s="237">
        <f>+SUM(T326:T328)</f>
        <v>0</v>
      </c>
      <c r="U329" s="243"/>
      <c r="V329" s="237">
        <f>+SUM(V326:V328)</f>
        <v>0</v>
      </c>
      <c r="W329" s="243"/>
      <c r="X329" s="237">
        <f>+SUM(X326:X328)</f>
        <v>0</v>
      </c>
      <c r="Y329" s="243"/>
      <c r="Z329" s="237">
        <f>+SUM(Z326:Z328)</f>
        <v>0</v>
      </c>
      <c r="AA329" s="243"/>
      <c r="AB329" s="237">
        <f>+SUM(AB326:AB328)</f>
        <v>0</v>
      </c>
      <c r="AC329" s="243"/>
      <c r="AD329" s="237">
        <f>+SUM(AD326:AD328)</f>
        <v>0</v>
      </c>
      <c r="AE329" s="243"/>
      <c r="AF329" s="237">
        <f>+SUM(AF326:AF328)</f>
        <v>0</v>
      </c>
      <c r="AG329" s="243"/>
      <c r="AH329" s="237">
        <f>+SUM(AH326:AH328)</f>
        <v>0</v>
      </c>
      <c r="AI329" s="243"/>
    </row>
    <row r="330" spans="2:35" ht="21.75" thickBot="1">
      <c r="B330" s="327" t="s">
        <v>92</v>
      </c>
      <c r="C330" s="382"/>
      <c r="D330" s="245">
        <f>F330+H330+J330+L330+N330+P330+R330+T330+V330+X330+Z330+AB330+AD330+AF330+AH330</f>
        <v>4847730</v>
      </c>
      <c r="E330" s="243">
        <f>+D329-D330</f>
        <v>3560995</v>
      </c>
      <c r="F330" s="245">
        <f>+F328</f>
        <v>4847730</v>
      </c>
      <c r="G330" s="243">
        <f>+F329-F330</f>
        <v>3560995</v>
      </c>
      <c r="H330" s="245"/>
      <c r="I330" s="243">
        <f>+H329-H330</f>
        <v>0</v>
      </c>
      <c r="J330" s="245"/>
      <c r="K330" s="243">
        <f>+J329-J330</f>
        <v>0</v>
      </c>
      <c r="L330" s="245"/>
      <c r="M330" s="243">
        <f>+L329-L330</f>
        <v>0</v>
      </c>
      <c r="N330" s="245"/>
      <c r="O330" s="243">
        <f>+N329-N330</f>
        <v>0</v>
      </c>
      <c r="P330" s="245"/>
      <c r="Q330" s="243">
        <f>+P329-P330</f>
        <v>0</v>
      </c>
      <c r="R330" s="245"/>
      <c r="S330" s="243">
        <f>+R329-R330</f>
        <v>0</v>
      </c>
      <c r="T330" s="245"/>
      <c r="U330" s="243">
        <f>+T329-T330</f>
        <v>0</v>
      </c>
      <c r="V330" s="245"/>
      <c r="W330" s="243">
        <f>+V329-V330</f>
        <v>0</v>
      </c>
      <c r="X330" s="245"/>
      <c r="Y330" s="243">
        <f>+X329-X330</f>
        <v>0</v>
      </c>
      <c r="Z330" s="245"/>
      <c r="AA330" s="243">
        <f>+Z329-Z330</f>
        <v>0</v>
      </c>
      <c r="AB330" s="245"/>
      <c r="AC330" s="243">
        <f>+AB329-AB330</f>
        <v>0</v>
      </c>
      <c r="AD330" s="245"/>
      <c r="AE330" s="243">
        <f>+AD329-AD330</f>
        <v>0</v>
      </c>
      <c r="AF330" s="245"/>
      <c r="AG330" s="243">
        <f>+AF329-AF330</f>
        <v>0</v>
      </c>
      <c r="AH330" s="245"/>
      <c r="AI330" s="243">
        <f>+AH329-AH330</f>
        <v>0</v>
      </c>
    </row>
    <row r="331" spans="2:35">
      <c r="B331" s="382"/>
      <c r="C331" s="244"/>
      <c r="D331" s="237"/>
      <c r="E331" s="243"/>
      <c r="F331" s="237"/>
      <c r="G331" s="243"/>
      <c r="H331" s="244"/>
      <c r="I331" s="243"/>
      <c r="J331" s="237"/>
      <c r="K331" s="243"/>
      <c r="L331" s="237"/>
      <c r="M331" s="243"/>
      <c r="N331" s="237"/>
      <c r="O331" s="243"/>
      <c r="P331" s="237"/>
      <c r="Q331" s="243"/>
      <c r="R331" s="237"/>
      <c r="S331" s="243"/>
      <c r="T331" s="237"/>
      <c r="U331" s="243"/>
      <c r="V331" s="348"/>
      <c r="W331" s="243"/>
      <c r="X331" s="237"/>
      <c r="Y331" s="243"/>
      <c r="Z331" s="237"/>
      <c r="AA331" s="243"/>
      <c r="AB331" s="237"/>
      <c r="AC331" s="243"/>
      <c r="AD331" s="237"/>
      <c r="AE331" s="243"/>
      <c r="AF331" s="237"/>
      <c r="AG331" s="243"/>
      <c r="AH331" s="237"/>
      <c r="AI331" s="243"/>
    </row>
    <row r="332" spans="2:35">
      <c r="B332" s="791" t="s">
        <v>714</v>
      </c>
      <c r="C332" s="244"/>
      <c r="D332" s="237"/>
      <c r="E332" s="243"/>
      <c r="F332" s="237"/>
      <c r="G332" s="243"/>
      <c r="H332" s="244"/>
      <c r="I332" s="243"/>
      <c r="J332" s="237"/>
      <c r="K332" s="243"/>
      <c r="L332" s="237"/>
      <c r="M332" s="243"/>
      <c r="N332" s="237"/>
      <c r="O332" s="243"/>
      <c r="P332" s="237"/>
      <c r="Q332" s="243"/>
      <c r="R332" s="237"/>
      <c r="S332" s="243"/>
      <c r="T332" s="237"/>
      <c r="U332" s="243"/>
      <c r="V332" s="348"/>
      <c r="W332" s="243"/>
      <c r="X332" s="237"/>
      <c r="Y332" s="243"/>
      <c r="Z332" s="237"/>
      <c r="AA332" s="243"/>
      <c r="AB332" s="237"/>
      <c r="AC332" s="243"/>
      <c r="AD332" s="237"/>
      <c r="AE332" s="243"/>
      <c r="AF332" s="237"/>
      <c r="AG332" s="243"/>
      <c r="AH332" s="237"/>
      <c r="AI332" s="243"/>
    </row>
    <row r="333" spans="2:35">
      <c r="B333" s="382" t="s">
        <v>96</v>
      </c>
      <c r="C333" s="244"/>
      <c r="D333" s="237"/>
      <c r="E333" s="243"/>
      <c r="F333" s="237"/>
      <c r="G333" s="243"/>
      <c r="H333" s="244"/>
      <c r="I333" s="243"/>
      <c r="J333" s="237"/>
      <c r="K333" s="243"/>
      <c r="L333" s="237"/>
      <c r="M333" s="243"/>
      <c r="N333" s="237"/>
      <c r="O333" s="243"/>
      <c r="P333" s="237"/>
      <c r="Q333" s="243"/>
      <c r="R333" s="237"/>
      <c r="S333" s="243"/>
      <c r="T333" s="237"/>
      <c r="U333" s="243"/>
      <c r="V333" s="348"/>
      <c r="W333" s="243"/>
      <c r="X333" s="237"/>
      <c r="Y333" s="243"/>
      <c r="Z333" s="237"/>
      <c r="AA333" s="243"/>
      <c r="AB333" s="237"/>
      <c r="AC333" s="243"/>
      <c r="AD333" s="237"/>
      <c r="AE333" s="243"/>
      <c r="AF333" s="237"/>
      <c r="AG333" s="243"/>
      <c r="AH333" s="237"/>
      <c r="AI333" s="243"/>
    </row>
    <row r="334" spans="2:35" ht="15" customHeight="1">
      <c r="B334" s="382" t="s">
        <v>202</v>
      </c>
      <c r="C334" s="244"/>
      <c r="D334" s="237">
        <f>F334+H334+J334+L334+N334+P334+R334+T334+V334+X334+Z334+AB334+AD334+AF334+AH334</f>
        <v>213036741</v>
      </c>
      <c r="E334" s="243"/>
      <c r="F334" s="237">
        <v>210845850</v>
      </c>
      <c r="G334" s="243"/>
      <c r="H334" s="244"/>
      <c r="I334" s="243"/>
      <c r="J334" s="237"/>
      <c r="K334" s="243"/>
      <c r="L334" s="237">
        <v>838665</v>
      </c>
      <c r="M334" s="243"/>
      <c r="N334" s="237"/>
      <c r="O334" s="243"/>
      <c r="P334" s="237"/>
      <c r="Q334" s="243"/>
      <c r="R334" s="237"/>
      <c r="S334" s="243"/>
      <c r="T334" s="237"/>
      <c r="U334" s="243"/>
      <c r="V334" s="348">
        <v>1352226</v>
      </c>
      <c r="W334" s="243"/>
      <c r="X334" s="237"/>
      <c r="Y334" s="243"/>
      <c r="Z334" s="237"/>
      <c r="AA334" s="243"/>
      <c r="AB334" s="237"/>
      <c r="AC334" s="243"/>
      <c r="AD334" s="237"/>
      <c r="AE334" s="243"/>
      <c r="AF334" s="237"/>
      <c r="AG334" s="243"/>
      <c r="AH334" s="237"/>
      <c r="AI334" s="243"/>
    </row>
    <row r="335" spans="2:35" ht="12.75" customHeight="1">
      <c r="B335" s="382" t="s">
        <v>203</v>
      </c>
      <c r="C335" s="244"/>
      <c r="D335" s="237">
        <f>F335+H335+J335+L335+N335+P335+R335+T335+V335+X335+Z335+AB335+AD335+AF335+AH335</f>
        <v>42127653</v>
      </c>
      <c r="E335" s="243"/>
      <c r="F335" s="237">
        <v>38649288</v>
      </c>
      <c r="G335" s="243"/>
      <c r="H335" s="244"/>
      <c r="I335" s="243"/>
      <c r="J335" s="237"/>
      <c r="K335" s="243"/>
      <c r="L335" s="237"/>
      <c r="M335" s="243"/>
      <c r="N335" s="237"/>
      <c r="O335" s="243"/>
      <c r="P335" s="237"/>
      <c r="Q335" s="243"/>
      <c r="R335" s="237"/>
      <c r="S335" s="243"/>
      <c r="T335" s="237"/>
      <c r="U335" s="243"/>
      <c r="V335" s="348"/>
      <c r="W335" s="243"/>
      <c r="X335" s="237"/>
      <c r="Y335" s="243"/>
      <c r="Z335" s="237"/>
      <c r="AA335" s="243"/>
      <c r="AB335" s="237">
        <v>3478365</v>
      </c>
      <c r="AC335" s="243"/>
      <c r="AD335" s="237"/>
      <c r="AE335" s="243"/>
      <c r="AF335" s="237"/>
      <c r="AG335" s="243"/>
      <c r="AH335" s="237"/>
      <c r="AI335" s="243"/>
    </row>
    <row r="336" spans="2:35" ht="12.75" customHeight="1">
      <c r="B336" s="382" t="s">
        <v>204</v>
      </c>
      <c r="C336" s="244"/>
      <c r="D336" s="237">
        <f>F336+H336+J336+L336+N336+P336+R336+T336+V336+X336+Z336+AB336+AD336+AF336+AH336</f>
        <v>186864035</v>
      </c>
      <c r="E336" s="243"/>
      <c r="F336" s="237">
        <v>65750208</v>
      </c>
      <c r="G336" s="243"/>
      <c r="H336" s="244">
        <f>5457266+1</f>
        <v>5457267</v>
      </c>
      <c r="I336" s="243"/>
      <c r="J336" s="237">
        <f>6507701+1</f>
        <v>6507702</v>
      </c>
      <c r="K336" s="243"/>
      <c r="L336" s="237">
        <v>5455181</v>
      </c>
      <c r="M336" s="243"/>
      <c r="N336" s="237">
        <v>10937065</v>
      </c>
      <c r="O336" s="243"/>
      <c r="P336" s="237">
        <v>9007672</v>
      </c>
      <c r="Q336" s="243"/>
      <c r="R336" s="237">
        <v>4078728</v>
      </c>
      <c r="S336" s="243"/>
      <c r="T336" s="237">
        <v>24461589</v>
      </c>
      <c r="U336" s="243"/>
      <c r="V336" s="348">
        <v>12336194</v>
      </c>
      <c r="W336" s="243"/>
      <c r="X336" s="237">
        <v>1771070</v>
      </c>
      <c r="Y336" s="243"/>
      <c r="Z336" s="237">
        <v>5960789</v>
      </c>
      <c r="AA336" s="243"/>
      <c r="AB336" s="237">
        <v>1471028</v>
      </c>
      <c r="AC336" s="243"/>
      <c r="AD336" s="237">
        <v>16309821</v>
      </c>
      <c r="AE336" s="243"/>
      <c r="AF336" s="237">
        <v>16888965</v>
      </c>
      <c r="AG336" s="243"/>
      <c r="AH336" s="237">
        <v>470756</v>
      </c>
      <c r="AI336" s="243"/>
    </row>
    <row r="337" spans="2:35">
      <c r="B337" s="382" t="s">
        <v>97</v>
      </c>
      <c r="C337" s="244"/>
      <c r="D337" s="237"/>
      <c r="E337" s="243"/>
      <c r="F337" s="237"/>
      <c r="G337" s="243"/>
      <c r="H337" s="244"/>
      <c r="I337" s="243"/>
      <c r="J337" s="237"/>
      <c r="K337" s="243"/>
      <c r="L337" s="237"/>
      <c r="M337" s="243"/>
      <c r="N337" s="237"/>
      <c r="O337" s="243"/>
      <c r="P337" s="237"/>
      <c r="Q337" s="243"/>
      <c r="R337" s="237"/>
      <c r="S337" s="243"/>
      <c r="T337" s="237"/>
      <c r="U337" s="243"/>
      <c r="V337" s="348"/>
      <c r="W337" s="243"/>
      <c r="X337" s="237"/>
      <c r="Y337" s="243"/>
      <c r="Z337" s="237"/>
      <c r="AA337" s="243"/>
      <c r="AB337" s="237"/>
      <c r="AC337" s="243"/>
      <c r="AD337" s="237"/>
      <c r="AE337" s="243"/>
      <c r="AF337" s="237"/>
      <c r="AG337" s="243"/>
      <c r="AH337" s="237"/>
      <c r="AI337" s="243"/>
    </row>
    <row r="338" spans="2:35">
      <c r="B338" s="382" t="s">
        <v>203</v>
      </c>
      <c r="C338" s="244"/>
      <c r="D338" s="237">
        <f>F338+H338+J338+L338+N338+P338+R338+T338+V338+X338+Z338+AB338+AD338+AF338+AH338</f>
        <v>34441709</v>
      </c>
      <c r="E338" s="243"/>
      <c r="F338" s="237"/>
      <c r="G338" s="243"/>
      <c r="H338" s="244"/>
      <c r="I338" s="243"/>
      <c r="J338" s="237"/>
      <c r="K338" s="243"/>
      <c r="L338" s="237"/>
      <c r="M338" s="243"/>
      <c r="N338" s="237"/>
      <c r="O338" s="243"/>
      <c r="P338" s="237">
        <f>2856834+1</f>
        <v>2856835</v>
      </c>
      <c r="Q338" s="243"/>
      <c r="R338" s="237"/>
      <c r="S338" s="243"/>
      <c r="T338" s="237"/>
      <c r="U338" s="243"/>
      <c r="V338" s="348"/>
      <c r="W338" s="243"/>
      <c r="X338" s="237"/>
      <c r="Y338" s="243"/>
      <c r="Z338" s="237"/>
      <c r="AA338" s="243"/>
      <c r="AB338" s="237">
        <v>371888</v>
      </c>
      <c r="AC338" s="243"/>
      <c r="AD338" s="237"/>
      <c r="AE338" s="243"/>
      <c r="AF338" s="237">
        <f>31212988-2</f>
        <v>31212986</v>
      </c>
      <c r="AG338" s="243"/>
      <c r="AH338" s="237"/>
      <c r="AI338" s="243"/>
    </row>
    <row r="339" spans="2:35">
      <c r="B339" s="382" t="s">
        <v>204</v>
      </c>
      <c r="C339" s="244"/>
      <c r="D339" s="237">
        <f>F339+H339+J339+L339+N339+P339+R339+T339+V339+X339+Z339+AB339+AD339+AF339+AH339</f>
        <v>91044355</v>
      </c>
      <c r="E339" s="243"/>
      <c r="F339" s="237">
        <v>17143006</v>
      </c>
      <c r="G339" s="243"/>
      <c r="H339" s="244">
        <v>3638453</v>
      </c>
      <c r="I339" s="243"/>
      <c r="J339" s="237">
        <v>2592356</v>
      </c>
      <c r="K339" s="243"/>
      <c r="L339" s="237">
        <v>3364927</v>
      </c>
      <c r="M339" s="243"/>
      <c r="N339" s="237">
        <v>7931598</v>
      </c>
      <c r="O339" s="243"/>
      <c r="P339" s="237">
        <v>14955707</v>
      </c>
      <c r="Q339" s="243"/>
      <c r="R339" s="237">
        <v>1620278</v>
      </c>
      <c r="S339" s="243"/>
      <c r="T339" s="237">
        <v>11150977</v>
      </c>
      <c r="U339" s="243"/>
      <c r="V339" s="348">
        <v>3178839</v>
      </c>
      <c r="W339" s="243"/>
      <c r="X339" s="237">
        <v>1035613</v>
      </c>
      <c r="Y339" s="243"/>
      <c r="Z339" s="237">
        <v>3286192</v>
      </c>
      <c r="AA339" s="243"/>
      <c r="AB339" s="237">
        <v>2290540</v>
      </c>
      <c r="AC339" s="243"/>
      <c r="AD339" s="237">
        <v>4409299</v>
      </c>
      <c r="AE339" s="243"/>
      <c r="AF339" s="237">
        <v>14446570</v>
      </c>
      <c r="AG339" s="243"/>
      <c r="AH339" s="237"/>
      <c r="AI339" s="243"/>
    </row>
    <row r="340" spans="2:35">
      <c r="B340" s="382" t="s">
        <v>856</v>
      </c>
      <c r="C340" s="244"/>
      <c r="D340" s="237">
        <f>F340+H340+J340+L340+N340+P340+R340+T340+V340+X340+Z340+AB340+AD340+AF340+AH340</f>
        <v>472547555</v>
      </c>
      <c r="E340" s="243"/>
      <c r="F340" s="237"/>
      <c r="G340" s="243"/>
      <c r="H340" s="244"/>
      <c r="I340" s="243"/>
      <c r="J340" s="237"/>
      <c r="K340" s="243"/>
      <c r="L340" s="237"/>
      <c r="M340" s="243"/>
      <c r="N340" s="237"/>
      <c r="O340" s="243"/>
      <c r="P340" s="237">
        <v>471321043</v>
      </c>
      <c r="Q340" s="243"/>
      <c r="R340" s="237"/>
      <c r="S340" s="243"/>
      <c r="T340" s="237"/>
      <c r="U340" s="243"/>
      <c r="V340" s="348"/>
      <c r="W340" s="243"/>
      <c r="X340" s="237">
        <v>180632</v>
      </c>
      <c r="Y340" s="243"/>
      <c r="Z340" s="237">
        <v>129320</v>
      </c>
      <c r="AA340" s="243"/>
      <c r="AB340" s="237"/>
      <c r="AC340" s="243"/>
      <c r="AD340" s="237"/>
      <c r="AE340" s="243"/>
      <c r="AF340" s="237">
        <v>75574</v>
      </c>
      <c r="AG340" s="243"/>
      <c r="AH340" s="237">
        <v>840986</v>
      </c>
      <c r="AI340" s="243"/>
    </row>
    <row r="341" spans="2:35" ht="12" thickBot="1">
      <c r="B341" s="327" t="s">
        <v>98</v>
      </c>
      <c r="C341" s="244"/>
      <c r="D341" s="245">
        <f>F341+H341+J341+L341+N341+P341+R341+T341+V341+X341+Z341+AB341+AD341+AF341+AH341</f>
        <v>249902326</v>
      </c>
      <c r="E341" s="243"/>
      <c r="F341" s="245">
        <v>33673070</v>
      </c>
      <c r="G341" s="243"/>
      <c r="H341" s="248"/>
      <c r="I341" s="243"/>
      <c r="J341" s="245">
        <v>40648038</v>
      </c>
      <c r="K341" s="243"/>
      <c r="L341" s="245"/>
      <c r="M341" s="243"/>
      <c r="N341" s="245"/>
      <c r="O341" s="243"/>
      <c r="P341" s="757">
        <v>73432867</v>
      </c>
      <c r="Q341" s="243"/>
      <c r="R341" s="245"/>
      <c r="S341" s="243"/>
      <c r="T341" s="245"/>
      <c r="U341" s="243"/>
      <c r="V341" s="344">
        <v>29828105</v>
      </c>
      <c r="W341" s="243"/>
      <c r="X341" s="245"/>
      <c r="Y341" s="243"/>
      <c r="Z341" s="245">
        <v>3823309</v>
      </c>
      <c r="AA341" s="243"/>
      <c r="AB341" s="245">
        <v>67568418</v>
      </c>
      <c r="AC341" s="243"/>
      <c r="AD341" s="245"/>
      <c r="AE341" s="243"/>
      <c r="AF341" s="245"/>
      <c r="AG341" s="243"/>
      <c r="AH341" s="245">
        <v>928519</v>
      </c>
      <c r="AI341" s="243"/>
    </row>
    <row r="342" spans="2:35">
      <c r="B342" s="327" t="s">
        <v>93</v>
      </c>
      <c r="C342" s="244"/>
      <c r="D342" s="237">
        <f>+SUM(D333:D341)</f>
        <v>1289964374</v>
      </c>
      <c r="E342" s="243"/>
      <c r="F342" s="237">
        <f>+SUM(F333:F341)</f>
        <v>366061422</v>
      </c>
      <c r="G342" s="243"/>
      <c r="H342" s="244">
        <f>+SUM(H333:H341)</f>
        <v>9095720</v>
      </c>
      <c r="I342" s="243"/>
      <c r="J342" s="237">
        <f>+SUM(J333:J341)</f>
        <v>49748096</v>
      </c>
      <c r="K342" s="243"/>
      <c r="L342" s="237">
        <f>+SUM(L333:L341)</f>
        <v>9658773</v>
      </c>
      <c r="M342" s="243"/>
      <c r="N342" s="237">
        <f>+SUM(N333:N341)</f>
        <v>18868663</v>
      </c>
      <c r="O342" s="243"/>
      <c r="P342" s="237">
        <f>+SUM(P333:P341)</f>
        <v>571574124</v>
      </c>
      <c r="Q342" s="243"/>
      <c r="R342" s="237">
        <f>+SUM(R333:R341)</f>
        <v>5699006</v>
      </c>
      <c r="S342" s="243"/>
      <c r="T342" s="237">
        <f>+SUM(T333:T341)</f>
        <v>35612566</v>
      </c>
      <c r="U342" s="243"/>
      <c r="V342" s="348">
        <f>+SUM(V333:V341)</f>
        <v>46695364</v>
      </c>
      <c r="W342" s="243"/>
      <c r="X342" s="237">
        <f>+SUM(X333:X341)</f>
        <v>2987315</v>
      </c>
      <c r="Y342" s="243"/>
      <c r="Z342" s="237">
        <f>+SUM(Z333:Z341)</f>
        <v>13199610</v>
      </c>
      <c r="AA342" s="243"/>
      <c r="AB342" s="237">
        <f>+SUM(AB333:AB341)</f>
        <v>75180239</v>
      </c>
      <c r="AC342" s="243"/>
      <c r="AD342" s="237">
        <f>+SUM(AD333:AD341)</f>
        <v>20719120</v>
      </c>
      <c r="AE342" s="243"/>
      <c r="AF342" s="237">
        <f>+SUM(AF333:AF341)</f>
        <v>62624095</v>
      </c>
      <c r="AG342" s="243"/>
      <c r="AH342" s="237">
        <f>+SUM(AH333:AH341)</f>
        <v>2240261</v>
      </c>
      <c r="AI342" s="243"/>
    </row>
    <row r="343" spans="2:35" ht="21.75" thickBot="1">
      <c r="B343" s="327" t="s">
        <v>92</v>
      </c>
      <c r="C343" s="244"/>
      <c r="D343" s="245">
        <f>F343+H343+J343+L343+N343+P343+R343+T343+V343+X343+Z343+AB343+AD343+AF343+AH343</f>
        <v>249902326</v>
      </c>
      <c r="E343" s="243">
        <f>+D342-D343</f>
        <v>1040062048</v>
      </c>
      <c r="F343" s="245">
        <f>+F341</f>
        <v>33673070</v>
      </c>
      <c r="G343" s="243">
        <f>+F342-F343</f>
        <v>332388352</v>
      </c>
      <c r="H343" s="248"/>
      <c r="I343" s="243">
        <f>+H342-H343</f>
        <v>9095720</v>
      </c>
      <c r="J343" s="245">
        <v>40648038</v>
      </c>
      <c r="K343" s="243">
        <f>+J342-J343</f>
        <v>9100058</v>
      </c>
      <c r="L343" s="245"/>
      <c r="M343" s="243">
        <f>+L342-L343</f>
        <v>9658773</v>
      </c>
      <c r="N343" s="245"/>
      <c r="O343" s="243">
        <f>+N342-N343</f>
        <v>18868663</v>
      </c>
      <c r="P343" s="757">
        <f>P341</f>
        <v>73432867</v>
      </c>
      <c r="Q343" s="243">
        <f>+P342-P343</f>
        <v>498141257</v>
      </c>
      <c r="R343" s="245"/>
      <c r="S343" s="243">
        <f>+R342-R343</f>
        <v>5699006</v>
      </c>
      <c r="T343" s="245"/>
      <c r="U343" s="243">
        <f>+T342-T343</f>
        <v>35612566</v>
      </c>
      <c r="V343" s="344">
        <f>V341</f>
        <v>29828105</v>
      </c>
      <c r="W343" s="243">
        <f>+V342-V343</f>
        <v>16867259</v>
      </c>
      <c r="X343" s="245"/>
      <c r="Y343" s="243">
        <f>+X342-X343</f>
        <v>2987315</v>
      </c>
      <c r="Z343" s="245">
        <f>Z341</f>
        <v>3823309</v>
      </c>
      <c r="AA343" s="243">
        <f>+Z342-Z343</f>
        <v>9376301</v>
      </c>
      <c r="AB343" s="245">
        <f>AB341</f>
        <v>67568418</v>
      </c>
      <c r="AC343" s="243">
        <f>+AB342-AB343</f>
        <v>7611821</v>
      </c>
      <c r="AD343" s="245">
        <f>AD341</f>
        <v>0</v>
      </c>
      <c r="AE343" s="243">
        <f>+AD342-AD343</f>
        <v>20719120</v>
      </c>
      <c r="AF343" s="245"/>
      <c r="AG343" s="243">
        <f>+AF342-AF343</f>
        <v>62624095</v>
      </c>
      <c r="AH343" s="245">
        <f>AH341</f>
        <v>928519</v>
      </c>
      <c r="AI343" s="243">
        <f>+AH342-AH343</f>
        <v>1311742</v>
      </c>
    </row>
    <row r="344" spans="2:35">
      <c r="B344" s="327"/>
      <c r="C344" s="244"/>
      <c r="D344" s="237"/>
      <c r="E344" s="243"/>
      <c r="F344" s="237"/>
      <c r="G344" s="243"/>
      <c r="H344" s="244"/>
      <c r="I344" s="243"/>
      <c r="J344" s="244"/>
      <c r="K344" s="243"/>
      <c r="L344" s="244"/>
      <c r="M344" s="243"/>
      <c r="N344" s="244"/>
      <c r="O344" s="243"/>
      <c r="P344" s="244"/>
      <c r="Q344" s="243"/>
      <c r="R344" s="244"/>
      <c r="S344" s="243"/>
      <c r="T344" s="244"/>
      <c r="U344" s="243"/>
      <c r="V344" s="341"/>
      <c r="W344" s="243"/>
      <c r="X344" s="244"/>
      <c r="Y344" s="243"/>
      <c r="Z344" s="244"/>
      <c r="AA344" s="243"/>
      <c r="AB344" s="244"/>
      <c r="AC344" s="243"/>
      <c r="AD344" s="244"/>
      <c r="AE344" s="243"/>
      <c r="AF344" s="244"/>
      <c r="AG344" s="243"/>
      <c r="AH344" s="244"/>
      <c r="AI344" s="243"/>
    </row>
    <row r="345" spans="2:35">
      <c r="B345" s="327"/>
      <c r="C345" s="244"/>
      <c r="D345" s="237"/>
      <c r="E345" s="243"/>
      <c r="F345" s="237"/>
      <c r="G345" s="243"/>
      <c r="H345" s="244"/>
      <c r="I345" s="243"/>
      <c r="J345" s="237"/>
      <c r="K345" s="243"/>
      <c r="L345" s="237"/>
      <c r="M345" s="243"/>
      <c r="N345" s="237"/>
      <c r="O345" s="243"/>
      <c r="P345" s="237"/>
      <c r="Q345" s="243"/>
      <c r="R345" s="237"/>
      <c r="S345" s="243"/>
      <c r="T345" s="237"/>
      <c r="U345" s="243"/>
      <c r="V345" s="348"/>
      <c r="W345" s="243"/>
      <c r="X345" s="237"/>
      <c r="Y345" s="243"/>
      <c r="Z345" s="237"/>
      <c r="AA345" s="243"/>
      <c r="AB345" s="237"/>
      <c r="AC345" s="243"/>
      <c r="AD345" s="237"/>
      <c r="AE345" s="243"/>
      <c r="AF345" s="237"/>
      <c r="AG345" s="243"/>
      <c r="AH345" s="237"/>
      <c r="AI345" s="243"/>
    </row>
    <row r="346" spans="2:35" ht="12" thickBot="1">
      <c r="B346" s="665" t="s">
        <v>860</v>
      </c>
      <c r="C346" s="248"/>
      <c r="D346" s="245"/>
      <c r="E346" s="252">
        <f>SUM(E311:E345)</f>
        <v>1129814713</v>
      </c>
      <c r="F346" s="245"/>
      <c r="G346" s="252">
        <f>SUM(G311:G345)</f>
        <v>350032265</v>
      </c>
      <c r="H346" s="248"/>
      <c r="I346" s="252">
        <f>SUM(I311:I345)</f>
        <v>9095720</v>
      </c>
      <c r="J346" s="248"/>
      <c r="K346" s="252">
        <f>SUM(K311:K345)</f>
        <v>9100058</v>
      </c>
      <c r="L346" s="248"/>
      <c r="M346" s="252">
        <f>SUM(M311:M345)</f>
        <v>9658773</v>
      </c>
      <c r="N346" s="248"/>
      <c r="O346" s="252">
        <f>SUM(O311:O345)</f>
        <v>18868663</v>
      </c>
      <c r="P346" s="248"/>
      <c r="Q346" s="252">
        <f>SUM(Q311:Q345)</f>
        <v>511611421</v>
      </c>
      <c r="R346" s="248"/>
      <c r="S346" s="252">
        <f>SUM(S311:S345)</f>
        <v>5739003</v>
      </c>
      <c r="T346" s="248"/>
      <c r="U346" s="252">
        <f>SUM(U311:U345)</f>
        <v>35612566</v>
      </c>
      <c r="V346" s="384"/>
      <c r="W346" s="252">
        <f>SUM(W311:W345)</f>
        <v>16867259</v>
      </c>
      <c r="X346" s="248"/>
      <c r="Y346" s="252">
        <f>SUM(Y311:Y345)</f>
        <v>3047341</v>
      </c>
      <c r="Z346" s="248"/>
      <c r="AA346" s="252">
        <f>SUM(AA311:AA345)</f>
        <v>58836414</v>
      </c>
      <c r="AB346" s="248"/>
      <c r="AC346" s="252">
        <f>SUM(AC311:AC345)</f>
        <v>7611821</v>
      </c>
      <c r="AD346" s="248"/>
      <c r="AE346" s="252">
        <f>SUM(AE311:AE345)</f>
        <v>20719120</v>
      </c>
      <c r="AF346" s="248"/>
      <c r="AG346" s="252">
        <f>SUM(AG311:AG345)</f>
        <v>70762392</v>
      </c>
      <c r="AH346" s="248"/>
      <c r="AI346" s="252">
        <f>SUM(AI311:AI345)</f>
        <v>2251897</v>
      </c>
    </row>
    <row r="348" spans="2:35" ht="36.75" hidden="1" customHeight="1">
      <c r="B348" s="1475" t="s">
        <v>927</v>
      </c>
      <c r="C348" s="1475"/>
      <c r="D348" s="1475"/>
      <c r="E348" s="1475"/>
      <c r="F348" s="1475"/>
      <c r="G348" s="1475"/>
    </row>
    <row r="349" spans="2:35" hidden="1"/>
    <row r="351" spans="2:35">
      <c r="B351" s="318" t="s">
        <v>103</v>
      </c>
    </row>
    <row r="352" spans="2:35" ht="12" thickBot="1">
      <c r="B352" s="318"/>
      <c r="G352" s="335" t="s">
        <v>247</v>
      </c>
    </row>
    <row r="353" spans="2:35" ht="15.75" customHeight="1" thickBot="1">
      <c r="B353" s="418"/>
      <c r="C353" s="333"/>
      <c r="D353" s="1463" t="s">
        <v>860</v>
      </c>
      <c r="E353" s="1464"/>
      <c r="F353" s="1463" t="s">
        <v>17</v>
      </c>
      <c r="G353" s="1464"/>
      <c r="H353" s="1463" t="s">
        <v>18</v>
      </c>
      <c r="I353" s="1464"/>
      <c r="J353" s="1463" t="s">
        <v>19</v>
      </c>
      <c r="K353" s="1464"/>
      <c r="L353" s="1463" t="s">
        <v>20</v>
      </c>
      <c r="M353" s="1464"/>
      <c r="N353" s="1463" t="s">
        <v>21</v>
      </c>
      <c r="O353" s="1464"/>
      <c r="P353" s="1463" t="s">
        <v>22</v>
      </c>
      <c r="Q353" s="1464"/>
      <c r="R353" s="1463" t="s">
        <v>23</v>
      </c>
      <c r="S353" s="1464"/>
      <c r="T353" s="1463" t="s">
        <v>24</v>
      </c>
      <c r="U353" s="1464"/>
      <c r="V353" s="1463" t="s">
        <v>25</v>
      </c>
      <c r="W353" s="1464"/>
      <c r="X353" s="1463" t="s">
        <v>26</v>
      </c>
      <c r="Y353" s="1464"/>
      <c r="Z353" s="1463" t="s">
        <v>27</v>
      </c>
      <c r="AA353" s="1464"/>
      <c r="AB353" s="1463" t="s">
        <v>28</v>
      </c>
      <c r="AC353" s="1464"/>
      <c r="AD353" s="1463" t="s">
        <v>29</v>
      </c>
      <c r="AE353" s="1464"/>
      <c r="AF353" s="1463" t="s">
        <v>30</v>
      </c>
      <c r="AG353" s="1464"/>
      <c r="AH353" s="1463" t="s">
        <v>31</v>
      </c>
      <c r="AI353" s="1464"/>
    </row>
    <row r="354" spans="2:35">
      <c r="B354" s="653" t="s">
        <v>259</v>
      </c>
      <c r="C354" s="244"/>
      <c r="D354" s="237"/>
      <c r="E354" s="243"/>
      <c r="F354" s="237"/>
      <c r="G354" s="243"/>
      <c r="H354" s="237"/>
      <c r="I354" s="243"/>
      <c r="J354" s="237"/>
      <c r="K354" s="243"/>
      <c r="L354" s="237"/>
      <c r="M354" s="243"/>
      <c r="N354" s="237"/>
      <c r="O354" s="243"/>
      <c r="P354" s="237"/>
      <c r="Q354" s="243"/>
      <c r="R354" s="237"/>
      <c r="S354" s="243"/>
      <c r="T354" s="237"/>
      <c r="U354" s="243"/>
      <c r="V354" s="348"/>
      <c r="W354" s="243"/>
      <c r="X354" s="237"/>
      <c r="Y354" s="243"/>
      <c r="Z354" s="237"/>
      <c r="AA354" s="243"/>
      <c r="AB354" s="237"/>
      <c r="AC354" s="243"/>
      <c r="AD354" s="237"/>
      <c r="AE354" s="243"/>
      <c r="AF354" s="237"/>
      <c r="AG354" s="243"/>
      <c r="AH354" s="237"/>
      <c r="AI354" s="243"/>
    </row>
    <row r="355" spans="2:35" ht="32.25">
      <c r="B355" s="377" t="s">
        <v>187</v>
      </c>
      <c r="C355" s="244"/>
      <c r="D355" s="237">
        <f>F355+H355+J355+L355+N355+P355+R355+T355+V355+X355+Z355+AB355+AD355+AF355+AH355</f>
        <v>0</v>
      </c>
      <c r="E355" s="243"/>
      <c r="F355" s="237"/>
      <c r="G355" s="243"/>
      <c r="H355" s="237"/>
      <c r="I355" s="243"/>
      <c r="J355" s="237"/>
      <c r="K355" s="243"/>
      <c r="L355" s="237"/>
      <c r="M355" s="243"/>
      <c r="N355" s="237"/>
      <c r="O355" s="243"/>
      <c r="P355" s="237"/>
      <c r="Q355" s="243"/>
      <c r="R355" s="237"/>
      <c r="S355" s="243"/>
      <c r="T355" s="237"/>
      <c r="U355" s="243"/>
      <c r="V355" s="348"/>
      <c r="W355" s="243"/>
      <c r="X355" s="237"/>
      <c r="Y355" s="243"/>
      <c r="Z355" s="237"/>
      <c r="AA355" s="243"/>
      <c r="AB355" s="237"/>
      <c r="AC355" s="243"/>
      <c r="AD355" s="237"/>
      <c r="AE355" s="243"/>
      <c r="AF355" s="237"/>
      <c r="AG355" s="243"/>
      <c r="AH355" s="237"/>
      <c r="AI355" s="243"/>
    </row>
    <row r="356" spans="2:35">
      <c r="B356" s="377" t="s">
        <v>188</v>
      </c>
      <c r="C356" s="244"/>
      <c r="D356" s="237">
        <f>F356+H356+J356+L356+N356+P356+R356+T356+V356+X356+Z356+AB356+AD356+AF356+AH356</f>
        <v>17427510</v>
      </c>
      <c r="E356" s="243"/>
      <c r="F356" s="237">
        <v>649733</v>
      </c>
      <c r="G356" s="243"/>
      <c r="H356" s="237"/>
      <c r="I356" s="243"/>
      <c r="J356" s="237"/>
      <c r="K356" s="243"/>
      <c r="L356" s="237"/>
      <c r="M356" s="243"/>
      <c r="N356" s="237"/>
      <c r="O356" s="243"/>
      <c r="P356" s="237"/>
      <c r="Q356" s="243"/>
      <c r="R356" s="237"/>
      <c r="S356" s="243"/>
      <c r="T356" s="237"/>
      <c r="U356" s="243"/>
      <c r="V356" s="348"/>
      <c r="W356" s="243"/>
      <c r="X356" s="237"/>
      <c r="Y356" s="243"/>
      <c r="Z356" s="237">
        <v>10510458</v>
      </c>
      <c r="AA356" s="243"/>
      <c r="AB356" s="237">
        <v>586120</v>
      </c>
      <c r="AC356" s="243"/>
      <c r="AD356" s="237">
        <v>5681199</v>
      </c>
      <c r="AE356" s="243"/>
      <c r="AF356" s="237"/>
      <c r="AG356" s="243"/>
      <c r="AH356" s="237"/>
      <c r="AI356" s="243"/>
    </row>
    <row r="357" spans="2:35" ht="12" thickBot="1">
      <c r="B357" s="377" t="s">
        <v>256</v>
      </c>
      <c r="C357" s="244"/>
      <c r="D357" s="245">
        <f>F357+H357+J357+L357+N357+P357+R357+T357+V357+X357+Z357+AB357+AD357+AF357+AH357</f>
        <v>4168518685</v>
      </c>
      <c r="E357" s="243"/>
      <c r="F357" s="245">
        <v>4454550</v>
      </c>
      <c r="G357" s="243"/>
      <c r="H357" s="245">
        <v>4868957</v>
      </c>
      <c r="I357" s="243"/>
      <c r="J357" s="245">
        <v>284872334</v>
      </c>
      <c r="K357" s="243"/>
      <c r="L357" s="245">
        <v>2299600643</v>
      </c>
      <c r="M357" s="243"/>
      <c r="N357" s="245"/>
      <c r="O357" s="243"/>
      <c r="P357" s="245">
        <v>96404815</v>
      </c>
      <c r="Q357" s="243"/>
      <c r="R357" s="245"/>
      <c r="S357" s="243"/>
      <c r="T357" s="245"/>
      <c r="U357" s="243"/>
      <c r="V357" s="344">
        <v>85533953</v>
      </c>
      <c r="W357" s="243"/>
      <c r="X357" s="245"/>
      <c r="Y357" s="243"/>
      <c r="Z357" s="245">
        <v>5031401</v>
      </c>
      <c r="AA357" s="243"/>
      <c r="AB357" s="245">
        <v>8612731</v>
      </c>
      <c r="AC357" s="243"/>
      <c r="AD357" s="245">
        <v>106175207</v>
      </c>
      <c r="AE357" s="243"/>
      <c r="AF357" s="245">
        <f>48023352+1224940742</f>
        <v>1272964094</v>
      </c>
      <c r="AG357" s="243"/>
      <c r="AH357" s="245"/>
      <c r="AI357" s="243"/>
    </row>
    <row r="358" spans="2:35">
      <c r="B358" s="364" t="s">
        <v>93</v>
      </c>
      <c r="C358" s="244"/>
      <c r="D358" s="237">
        <f>SUM(D355:D357)</f>
        <v>4185946195</v>
      </c>
      <c r="E358" s="243"/>
      <c r="F358" s="237">
        <f>SUM(F355:F357)</f>
        <v>5104283</v>
      </c>
      <c r="G358" s="243"/>
      <c r="H358" s="237">
        <f>SUM(H355:H357)</f>
        <v>4868957</v>
      </c>
      <c r="I358" s="243"/>
      <c r="J358" s="237">
        <f>SUM(J355:J357)</f>
        <v>284872334</v>
      </c>
      <c r="K358" s="243"/>
      <c r="L358" s="237">
        <f>SUM(L355:L357)</f>
        <v>2299600643</v>
      </c>
      <c r="M358" s="243"/>
      <c r="N358" s="237">
        <f>SUM(N355:N357)</f>
        <v>0</v>
      </c>
      <c r="O358" s="243"/>
      <c r="P358" s="237">
        <f>SUM(P355:P357)</f>
        <v>96404815</v>
      </c>
      <c r="Q358" s="243"/>
      <c r="R358" s="237">
        <f>SUM(R355:R357)</f>
        <v>0</v>
      </c>
      <c r="S358" s="243"/>
      <c r="T358" s="237">
        <f>SUM(T355:T357)</f>
        <v>0</v>
      </c>
      <c r="U358" s="243"/>
      <c r="V358" s="348">
        <f>SUM(V355:V357)</f>
        <v>85533953</v>
      </c>
      <c r="W358" s="243"/>
      <c r="X358" s="237">
        <f>SUM(X355:X357)</f>
        <v>0</v>
      </c>
      <c r="Y358" s="243"/>
      <c r="Z358" s="237">
        <f>SUM(Z355:Z357)</f>
        <v>15541859</v>
      </c>
      <c r="AA358" s="243"/>
      <c r="AB358" s="237">
        <f>SUM(AB355:AB357)</f>
        <v>9198851</v>
      </c>
      <c r="AC358" s="243"/>
      <c r="AD358" s="237">
        <f>SUM(AD355:AD357)</f>
        <v>111856406</v>
      </c>
      <c r="AE358" s="243"/>
      <c r="AF358" s="237">
        <f>SUM(AF355:AF357)</f>
        <v>1272964094</v>
      </c>
      <c r="AG358" s="243"/>
      <c r="AH358" s="237">
        <f>SUM(AH355:AH357)</f>
        <v>0</v>
      </c>
      <c r="AI358" s="243"/>
    </row>
    <row r="359" spans="2:35" ht="21.75" thickBot="1">
      <c r="B359" s="781" t="s">
        <v>257</v>
      </c>
      <c r="C359" s="244"/>
      <c r="D359" s="245">
        <f>F359+H359+J359+L359+N359+P359+R359+T359+V359+X359+Z359+AB359+AD359+AF359+AH359</f>
        <v>4168518685</v>
      </c>
      <c r="E359" s="243">
        <f>+D358-D359</f>
        <v>17427510</v>
      </c>
      <c r="F359" s="245">
        <f>F357</f>
        <v>4454550</v>
      </c>
      <c r="G359" s="243">
        <f>+F358-F359</f>
        <v>649733</v>
      </c>
      <c r="H359" s="245">
        <f>H357</f>
        <v>4868957</v>
      </c>
      <c r="I359" s="243">
        <f>+H358-H359</f>
        <v>0</v>
      </c>
      <c r="J359" s="245">
        <f>J357</f>
        <v>284872334</v>
      </c>
      <c r="K359" s="243">
        <f>+J358-J359</f>
        <v>0</v>
      </c>
      <c r="L359" s="245">
        <f>L357</f>
        <v>2299600643</v>
      </c>
      <c r="M359" s="243">
        <f>+L358-L359</f>
        <v>0</v>
      </c>
      <c r="N359" s="245"/>
      <c r="O359" s="243">
        <f>+N358-N359</f>
        <v>0</v>
      </c>
      <c r="P359" s="245">
        <f>P357</f>
        <v>96404815</v>
      </c>
      <c r="Q359" s="243">
        <f>+P358-P359</f>
        <v>0</v>
      </c>
      <c r="R359" s="245"/>
      <c r="S359" s="243">
        <f>+R358-R359</f>
        <v>0</v>
      </c>
      <c r="T359" s="245"/>
      <c r="U359" s="243">
        <f>+T358-T359</f>
        <v>0</v>
      </c>
      <c r="V359" s="344">
        <f>V357</f>
        <v>85533953</v>
      </c>
      <c r="W359" s="243">
        <f>+V358-V359</f>
        <v>0</v>
      </c>
      <c r="X359" s="245"/>
      <c r="Y359" s="243">
        <f>+X358-X359</f>
        <v>0</v>
      </c>
      <c r="Z359" s="245">
        <f>Z357</f>
        <v>5031401</v>
      </c>
      <c r="AA359" s="243">
        <f>+Z358-Z359</f>
        <v>10510458</v>
      </c>
      <c r="AB359" s="245">
        <f>AB357</f>
        <v>8612731</v>
      </c>
      <c r="AC359" s="243">
        <f>+AB358-AB359</f>
        <v>586120</v>
      </c>
      <c r="AD359" s="245">
        <f>AD357</f>
        <v>106175207</v>
      </c>
      <c r="AE359" s="243">
        <f>+AD358-AD359</f>
        <v>5681199</v>
      </c>
      <c r="AF359" s="245">
        <f>AF357</f>
        <v>1272964094</v>
      </c>
      <c r="AG359" s="243">
        <f>+AF358-AF359</f>
        <v>0</v>
      </c>
      <c r="AH359" s="245"/>
      <c r="AI359" s="243">
        <f>+AH358-AH359</f>
        <v>0</v>
      </c>
    </row>
    <row r="360" spans="2:35" hidden="1">
      <c r="B360" s="392" t="s">
        <v>887</v>
      </c>
      <c r="C360" s="244"/>
      <c r="D360" s="237"/>
      <c r="E360" s="243"/>
      <c r="F360" s="237"/>
      <c r="G360" s="243"/>
      <c r="H360" s="237"/>
      <c r="I360" s="243"/>
      <c r="J360" s="237"/>
      <c r="K360" s="243"/>
      <c r="L360" s="237"/>
      <c r="M360" s="243"/>
      <c r="N360" s="237"/>
      <c r="O360" s="243"/>
      <c r="P360" s="237"/>
      <c r="Q360" s="243"/>
      <c r="R360" s="237"/>
      <c r="S360" s="243"/>
      <c r="T360" s="237"/>
      <c r="U360" s="243"/>
      <c r="V360" s="348"/>
      <c r="W360" s="243"/>
      <c r="X360" s="237"/>
      <c r="Y360" s="243"/>
      <c r="Z360" s="237"/>
      <c r="AA360" s="243"/>
      <c r="AB360" s="237"/>
      <c r="AC360" s="243"/>
      <c r="AD360" s="237"/>
      <c r="AE360" s="243"/>
      <c r="AF360" s="237"/>
      <c r="AG360" s="243"/>
      <c r="AH360" s="237"/>
      <c r="AI360" s="243"/>
    </row>
    <row r="361" spans="2:35" hidden="1">
      <c r="B361" s="377" t="s">
        <v>191</v>
      </c>
      <c r="C361" s="244"/>
      <c r="D361" s="237">
        <f>F361+H361+J361+L361+N361+P361+R361+T361+V361+X361+Z361+AB361+AD361+AF361+AH361</f>
        <v>0</v>
      </c>
      <c r="E361" s="243"/>
      <c r="F361" s="237"/>
      <c r="G361" s="243"/>
      <c r="H361" s="237"/>
      <c r="I361" s="243"/>
      <c r="J361" s="237"/>
      <c r="K361" s="243"/>
      <c r="L361" s="237"/>
      <c r="M361" s="243"/>
      <c r="N361" s="237"/>
      <c r="O361" s="243"/>
      <c r="P361" s="237"/>
      <c r="Q361" s="243"/>
      <c r="R361" s="237"/>
      <c r="S361" s="243"/>
      <c r="T361" s="237"/>
      <c r="U361" s="243"/>
      <c r="V361" s="348"/>
      <c r="W361" s="243"/>
      <c r="X361" s="237"/>
      <c r="Y361" s="243"/>
      <c r="Z361" s="237"/>
      <c r="AA361" s="243"/>
      <c r="AB361" s="237"/>
      <c r="AC361" s="243"/>
      <c r="AD361" s="237"/>
      <c r="AE361" s="243"/>
      <c r="AF361" s="237"/>
      <c r="AG361" s="243"/>
      <c r="AH361" s="237"/>
      <c r="AI361" s="243"/>
    </row>
    <row r="362" spans="2:35" hidden="1">
      <c r="B362" s="377" t="s">
        <v>192</v>
      </c>
      <c r="C362" s="244"/>
      <c r="D362" s="237">
        <f>F362+H362+J362+L362+N362+P362+R362+T362+V362+X362+Z362+AB362+AD362+AF362+AH362</f>
        <v>0</v>
      </c>
      <c r="E362" s="243"/>
      <c r="F362" s="237"/>
      <c r="G362" s="243"/>
      <c r="H362" s="237"/>
      <c r="I362" s="243"/>
      <c r="J362" s="237"/>
      <c r="K362" s="243"/>
      <c r="L362" s="237"/>
      <c r="M362" s="243"/>
      <c r="N362" s="237"/>
      <c r="O362" s="243"/>
      <c r="P362" s="237"/>
      <c r="Q362" s="243"/>
      <c r="R362" s="237"/>
      <c r="S362" s="243"/>
      <c r="T362" s="237"/>
      <c r="U362" s="243"/>
      <c r="V362" s="348"/>
      <c r="W362" s="243"/>
      <c r="X362" s="237"/>
      <c r="Y362" s="243"/>
      <c r="Z362" s="237"/>
      <c r="AA362" s="243"/>
      <c r="AB362" s="237"/>
      <c r="AC362" s="243"/>
      <c r="AD362" s="237"/>
      <c r="AE362" s="243"/>
      <c r="AF362" s="525">
        <v>0</v>
      </c>
      <c r="AG362" s="243"/>
      <c r="AH362" s="237"/>
      <c r="AI362" s="243"/>
    </row>
    <row r="363" spans="2:35" ht="12" hidden="1" thickBot="1">
      <c r="B363" s="364" t="s">
        <v>193</v>
      </c>
      <c r="C363" s="244"/>
      <c r="D363" s="245">
        <f>F363+H363+J363+L363+N363+P363+R363+T363+V363+X363+Z363+AB363+AD363+AF363+AH363</f>
        <v>0</v>
      </c>
      <c r="E363" s="243"/>
      <c r="F363" s="245"/>
      <c r="G363" s="243"/>
      <c r="H363" s="245"/>
      <c r="I363" s="243"/>
      <c r="J363" s="245"/>
      <c r="K363" s="243"/>
      <c r="L363" s="245"/>
      <c r="M363" s="243"/>
      <c r="N363" s="245"/>
      <c r="O363" s="243"/>
      <c r="P363" s="245"/>
      <c r="Q363" s="243"/>
      <c r="R363" s="245"/>
      <c r="S363" s="243"/>
      <c r="T363" s="245"/>
      <c r="U363" s="243"/>
      <c r="V363" s="344"/>
      <c r="W363" s="243"/>
      <c r="X363" s="245"/>
      <c r="Y363" s="243"/>
      <c r="Z363" s="245"/>
      <c r="AA363" s="243"/>
      <c r="AB363" s="245"/>
      <c r="AC363" s="243"/>
      <c r="AD363" s="245"/>
      <c r="AE363" s="243"/>
      <c r="AF363" s="245">
        <v>0</v>
      </c>
      <c r="AG363" s="243"/>
      <c r="AH363" s="245"/>
      <c r="AI363" s="243"/>
    </row>
    <row r="364" spans="2:35" hidden="1">
      <c r="B364" s="364" t="s">
        <v>93</v>
      </c>
      <c r="C364" s="244"/>
      <c r="D364" s="237">
        <f>SUM(D361:D363)</f>
        <v>0</v>
      </c>
      <c r="E364" s="243"/>
      <c r="F364" s="237">
        <f>SUM(F361:F363)</f>
        <v>0</v>
      </c>
      <c r="G364" s="243"/>
      <c r="H364" s="237">
        <f>SUM(H361:H363)</f>
        <v>0</v>
      </c>
      <c r="I364" s="243"/>
      <c r="J364" s="237">
        <f>SUM(J361:J363)</f>
        <v>0</v>
      </c>
      <c r="K364" s="243"/>
      <c r="L364" s="237">
        <f>SUM(L361:L363)</f>
        <v>0</v>
      </c>
      <c r="M364" s="243"/>
      <c r="N364" s="237">
        <f>SUM(N361:N363)</f>
        <v>0</v>
      </c>
      <c r="O364" s="243"/>
      <c r="P364" s="237">
        <f>SUM(P361:P363)</f>
        <v>0</v>
      </c>
      <c r="Q364" s="243"/>
      <c r="R364" s="237">
        <f>SUM(R361:R363)</f>
        <v>0</v>
      </c>
      <c r="S364" s="243"/>
      <c r="T364" s="237">
        <f>SUM(T361:T363)</f>
        <v>0</v>
      </c>
      <c r="U364" s="243"/>
      <c r="V364" s="348">
        <f>SUM(V361:V363)</f>
        <v>0</v>
      </c>
      <c r="W364" s="243"/>
      <c r="X364" s="237">
        <f>SUM(X361:X363)</f>
        <v>0</v>
      </c>
      <c r="Y364" s="243"/>
      <c r="Z364" s="237">
        <f>SUM(Z361:Z363)</f>
        <v>0</v>
      </c>
      <c r="AA364" s="243"/>
      <c r="AB364" s="237">
        <f>SUM(AB361:AB363)</f>
        <v>0</v>
      </c>
      <c r="AC364" s="243"/>
      <c r="AD364" s="237">
        <f>SUM(AD361:AD363)</f>
        <v>0</v>
      </c>
      <c r="AE364" s="243"/>
      <c r="AF364" s="237">
        <f>SUM(AF361:AF363)</f>
        <v>0</v>
      </c>
      <c r="AG364" s="243"/>
      <c r="AH364" s="237">
        <f>SUM(AH361:AH363)</f>
        <v>0</v>
      </c>
      <c r="AI364" s="243"/>
    </row>
    <row r="365" spans="2:35" ht="12" hidden="1" thickBot="1">
      <c r="B365" s="783" t="s">
        <v>258</v>
      </c>
      <c r="C365" s="244"/>
      <c r="D365" s="245">
        <f>F365+H365+J365+L365+N365+P365+R365+T365+V365+X365+Z365+AB365+AD365+AF365+AH365</f>
        <v>0</v>
      </c>
      <c r="E365" s="243">
        <f>+D364-D365</f>
        <v>0</v>
      </c>
      <c r="F365" s="245"/>
      <c r="G365" s="243">
        <f>+F364-F365</f>
        <v>0</v>
      </c>
      <c r="H365" s="245"/>
      <c r="I365" s="243">
        <f>+H364-H365</f>
        <v>0</v>
      </c>
      <c r="J365" s="245"/>
      <c r="K365" s="243">
        <f>+J364-J365</f>
        <v>0</v>
      </c>
      <c r="L365" s="245"/>
      <c r="M365" s="243">
        <f>+L364-L365</f>
        <v>0</v>
      </c>
      <c r="N365" s="245"/>
      <c r="O365" s="243">
        <f>+N364-N365</f>
        <v>0</v>
      </c>
      <c r="P365" s="245"/>
      <c r="Q365" s="243">
        <f>+P364-P365</f>
        <v>0</v>
      </c>
      <c r="R365" s="245"/>
      <c r="S365" s="243">
        <f>+R364-R365</f>
        <v>0</v>
      </c>
      <c r="T365" s="245"/>
      <c r="U365" s="243">
        <f>+T364-T365</f>
        <v>0</v>
      </c>
      <c r="V365" s="344"/>
      <c r="W365" s="243">
        <f>+V364-V365</f>
        <v>0</v>
      </c>
      <c r="X365" s="245"/>
      <c r="Y365" s="243">
        <f>+X364-X365</f>
        <v>0</v>
      </c>
      <c r="Z365" s="245"/>
      <c r="AA365" s="243">
        <f>+Z364-Z365</f>
        <v>0</v>
      </c>
      <c r="AB365" s="245"/>
      <c r="AC365" s="243">
        <f>+AB364-AB365</f>
        <v>0</v>
      </c>
      <c r="AD365" s="245"/>
      <c r="AE365" s="243">
        <f>+AD364-AD365</f>
        <v>0</v>
      </c>
      <c r="AF365" s="245">
        <f>+AF363</f>
        <v>0</v>
      </c>
      <c r="AG365" s="243">
        <f>+AF364-AF365</f>
        <v>0</v>
      </c>
      <c r="AH365" s="245"/>
      <c r="AI365" s="243">
        <f>+AH364-AH365</f>
        <v>0</v>
      </c>
    </row>
    <row r="366" spans="2:35">
      <c r="B366" s="781"/>
      <c r="C366" s="244"/>
      <c r="D366" s="237"/>
      <c r="E366" s="243"/>
      <c r="F366" s="237"/>
      <c r="G366" s="243"/>
      <c r="H366" s="237"/>
      <c r="I366" s="243"/>
      <c r="J366" s="237"/>
      <c r="K366" s="243"/>
      <c r="L366" s="237"/>
      <c r="M366" s="243"/>
      <c r="N366" s="237"/>
      <c r="O366" s="243"/>
      <c r="P366" s="237"/>
      <c r="Q366" s="243"/>
      <c r="R366" s="237"/>
      <c r="S366" s="243"/>
      <c r="T366" s="237"/>
      <c r="U366" s="243"/>
      <c r="V366" s="348"/>
      <c r="W366" s="243"/>
      <c r="X366" s="237"/>
      <c r="Y366" s="243"/>
      <c r="Z366" s="237"/>
      <c r="AA366" s="243"/>
      <c r="AB366" s="237"/>
      <c r="AC366" s="243"/>
      <c r="AD366" s="237"/>
      <c r="AE366" s="243"/>
      <c r="AF366" s="237"/>
      <c r="AG366" s="243"/>
      <c r="AH366" s="237"/>
      <c r="AI366" s="243"/>
    </row>
    <row r="367" spans="2:35" ht="12" thickBot="1">
      <c r="B367" s="665" t="s">
        <v>860</v>
      </c>
      <c r="C367" s="248"/>
      <c r="D367" s="245"/>
      <c r="E367" s="252">
        <f>+SUM(E354:E366)</f>
        <v>17427510</v>
      </c>
      <c r="F367" s="245"/>
      <c r="G367" s="252">
        <f>+SUM(G354:G366)</f>
        <v>649733</v>
      </c>
      <c r="H367" s="245"/>
      <c r="I367" s="252">
        <f>+SUM(I354:I366)</f>
        <v>0</v>
      </c>
      <c r="J367" s="245"/>
      <c r="K367" s="252">
        <f>+SUM(K354:K366)</f>
        <v>0</v>
      </c>
      <c r="L367" s="245"/>
      <c r="M367" s="252">
        <f>+SUM(M354:M366)</f>
        <v>0</v>
      </c>
      <c r="N367" s="245"/>
      <c r="O367" s="252">
        <f>+SUM(O354:O366)</f>
        <v>0</v>
      </c>
      <c r="P367" s="245"/>
      <c r="Q367" s="252">
        <f>+SUM(Q354:Q366)</f>
        <v>0</v>
      </c>
      <c r="R367" s="245"/>
      <c r="S367" s="252">
        <f>+SUM(S354:S366)</f>
        <v>0</v>
      </c>
      <c r="T367" s="245"/>
      <c r="U367" s="252">
        <f>+SUM(U354:U366)</f>
        <v>0</v>
      </c>
      <c r="V367" s="344"/>
      <c r="W367" s="252">
        <f>+SUM(W354:W366)</f>
        <v>0</v>
      </c>
      <c r="X367" s="245"/>
      <c r="Y367" s="252">
        <f>+SUM(Y354:Y366)</f>
        <v>0</v>
      </c>
      <c r="Z367" s="245"/>
      <c r="AA367" s="252">
        <f>+SUM(AA354:AA366)</f>
        <v>10510458</v>
      </c>
      <c r="AB367" s="245"/>
      <c r="AC367" s="252">
        <f>+SUM(AC354:AC366)</f>
        <v>586120</v>
      </c>
      <c r="AD367" s="245"/>
      <c r="AE367" s="252">
        <f>+SUM(AE354:AE366)</f>
        <v>5681199</v>
      </c>
      <c r="AF367" s="245"/>
      <c r="AG367" s="252">
        <f>+SUM(AG354:AG366)</f>
        <v>0</v>
      </c>
      <c r="AH367" s="245"/>
      <c r="AI367" s="252">
        <f>+SUM(AI354:AI366)</f>
        <v>0</v>
      </c>
    </row>
    <row r="369" spans="2:35" ht="33" hidden="1" customHeight="1">
      <c r="B369" s="1475" t="s">
        <v>927</v>
      </c>
      <c r="C369" s="1475"/>
      <c r="D369" s="1475"/>
      <c r="E369" s="1475"/>
      <c r="F369" s="1475"/>
      <c r="G369" s="1475"/>
    </row>
    <row r="371" spans="2:35">
      <c r="B371" s="419" t="s">
        <v>104</v>
      </c>
    </row>
    <row r="372" spans="2:35" hidden="1"/>
    <row r="373" spans="2:35">
      <c r="B373" s="318" t="s">
        <v>105</v>
      </c>
    </row>
    <row r="374" spans="2:35" hidden="1"/>
    <row r="375" spans="2:35" ht="12" thickBot="1">
      <c r="G375" s="335" t="s">
        <v>247</v>
      </c>
    </row>
    <row r="376" spans="2:35" ht="12" thickBot="1">
      <c r="B376" s="365"/>
      <c r="C376" s="274"/>
      <c r="D376" s="1463" t="s">
        <v>860</v>
      </c>
      <c r="E376" s="1464"/>
      <c r="F376" s="1463" t="s">
        <v>17</v>
      </c>
      <c r="G376" s="1464"/>
      <c r="H376" s="1463" t="s">
        <v>18</v>
      </c>
      <c r="I376" s="1464"/>
      <c r="J376" s="1463" t="s">
        <v>19</v>
      </c>
      <c r="K376" s="1464"/>
      <c r="L376" s="1463" t="s">
        <v>20</v>
      </c>
      <c r="M376" s="1464"/>
      <c r="N376" s="1463" t="s">
        <v>21</v>
      </c>
      <c r="O376" s="1464"/>
      <c r="P376" s="1463" t="s">
        <v>22</v>
      </c>
      <c r="Q376" s="1464"/>
      <c r="R376" s="1463" t="s">
        <v>23</v>
      </c>
      <c r="S376" s="1464"/>
      <c r="T376" s="1463" t="s">
        <v>24</v>
      </c>
      <c r="U376" s="1464"/>
      <c r="V376" s="1463" t="s">
        <v>25</v>
      </c>
      <c r="W376" s="1464"/>
      <c r="X376" s="1463" t="s">
        <v>26</v>
      </c>
      <c r="Y376" s="1464"/>
      <c r="Z376" s="1463" t="s">
        <v>27</v>
      </c>
      <c r="AA376" s="1464"/>
      <c r="AB376" s="1463" t="s">
        <v>28</v>
      </c>
      <c r="AC376" s="1464"/>
      <c r="AD376" s="1463" t="s">
        <v>29</v>
      </c>
      <c r="AE376" s="1464"/>
      <c r="AF376" s="1463" t="s">
        <v>30</v>
      </c>
      <c r="AG376" s="1464"/>
      <c r="AH376" s="1463" t="s">
        <v>31</v>
      </c>
      <c r="AI376" s="1464"/>
    </row>
    <row r="377" spans="2:35">
      <c r="B377" s="249"/>
      <c r="C377" s="250"/>
      <c r="D377" s="249"/>
      <c r="E377" s="250"/>
      <c r="F377" s="249"/>
      <c r="G377" s="250"/>
      <c r="H377" s="249"/>
      <c r="I377" s="250"/>
      <c r="J377" s="249"/>
      <c r="K377" s="250"/>
      <c r="L377" s="249"/>
      <c r="M377" s="250"/>
      <c r="N377" s="249"/>
      <c r="O377" s="250"/>
      <c r="P377" s="249"/>
      <c r="Q377" s="250"/>
      <c r="R377" s="249"/>
      <c r="S377" s="250"/>
      <c r="T377" s="249"/>
      <c r="U377" s="250"/>
      <c r="V377" s="383"/>
      <c r="W377" s="250"/>
      <c r="X377" s="249"/>
      <c r="Y377" s="250"/>
      <c r="Z377" s="249"/>
      <c r="AA377" s="250"/>
      <c r="AB377" s="249"/>
      <c r="AC377" s="250"/>
      <c r="AD377" s="249"/>
      <c r="AE377" s="250"/>
      <c r="AF377" s="249"/>
      <c r="AG377" s="250"/>
      <c r="AH377" s="249"/>
      <c r="AI377" s="250"/>
    </row>
    <row r="378" spans="2:35">
      <c r="B378" s="392" t="s">
        <v>1183</v>
      </c>
      <c r="C378" s="243"/>
      <c r="D378" s="237"/>
      <c r="E378" s="243"/>
      <c r="F378" s="237"/>
      <c r="G378" s="243"/>
      <c r="H378" s="237"/>
      <c r="I378" s="243"/>
      <c r="J378" s="237"/>
      <c r="K378" s="243"/>
      <c r="L378" s="237"/>
      <c r="M378" s="243"/>
      <c r="N378" s="237"/>
      <c r="O378" s="243"/>
      <c r="P378" s="237"/>
      <c r="Q378" s="243"/>
      <c r="R378" s="237"/>
      <c r="S378" s="243"/>
      <c r="T378" s="237"/>
      <c r="U378" s="243"/>
      <c r="V378" s="348"/>
      <c r="W378" s="243"/>
      <c r="X378" s="237"/>
      <c r="Y378" s="243"/>
      <c r="Z378" s="237"/>
      <c r="AA378" s="243"/>
      <c r="AB378" s="237"/>
      <c r="AC378" s="243"/>
      <c r="AD378" s="237"/>
      <c r="AE378" s="243"/>
      <c r="AF378" s="237"/>
      <c r="AG378" s="243"/>
      <c r="AH378" s="237"/>
      <c r="AI378" s="243"/>
    </row>
    <row r="379" spans="2:35">
      <c r="B379" s="420" t="s">
        <v>1184</v>
      </c>
      <c r="C379" s="243"/>
      <c r="D379" s="237">
        <f>F379+H379+J379+L379+N379+P379+R379+T379+V379+X379+Z379+AB379+AD379+AF379+AH379</f>
        <v>150000000</v>
      </c>
      <c r="E379" s="243"/>
      <c r="F379" s="237">
        <v>150000000</v>
      </c>
      <c r="G379" s="243"/>
      <c r="H379" s="237"/>
      <c r="I379" s="243"/>
      <c r="J379" s="237"/>
      <c r="K379" s="243"/>
      <c r="L379" s="237"/>
      <c r="M379" s="243"/>
      <c r="N379" s="237"/>
      <c r="O379" s="243"/>
      <c r="P379" s="237"/>
      <c r="Q379" s="243"/>
      <c r="R379" s="237"/>
      <c r="S379" s="243"/>
      <c r="T379" s="237"/>
      <c r="U379" s="243"/>
      <c r="V379" s="348"/>
      <c r="W379" s="243"/>
      <c r="X379" s="237"/>
      <c r="Y379" s="243"/>
      <c r="Z379" s="237"/>
      <c r="AA379" s="243"/>
      <c r="AB379" s="237"/>
      <c r="AC379" s="243"/>
      <c r="AD379" s="237"/>
      <c r="AE379" s="243"/>
      <c r="AF379" s="237"/>
      <c r="AG379" s="243"/>
      <c r="AH379" s="237"/>
      <c r="AI379" s="243"/>
    </row>
    <row r="380" spans="2:35">
      <c r="B380" s="420"/>
      <c r="C380" s="243"/>
      <c r="D380" s="237">
        <f>F380+H380+J380+L380+N380+P380+R380+T380+V380+X380+Z380+AB380+AD380+AF380+AH380</f>
        <v>0</v>
      </c>
      <c r="E380" s="243"/>
      <c r="F380" s="237"/>
      <c r="G380" s="243"/>
      <c r="H380" s="237"/>
      <c r="I380" s="243"/>
      <c r="J380" s="237"/>
      <c r="K380" s="243"/>
      <c r="L380" s="237"/>
      <c r="M380" s="243"/>
      <c r="N380" s="237"/>
      <c r="O380" s="243"/>
      <c r="P380" s="237"/>
      <c r="Q380" s="243"/>
      <c r="R380" s="237"/>
      <c r="S380" s="243"/>
      <c r="T380" s="237"/>
      <c r="U380" s="243"/>
      <c r="V380" s="348"/>
      <c r="W380" s="243"/>
      <c r="X380" s="237"/>
      <c r="Y380" s="243"/>
      <c r="Z380" s="237"/>
      <c r="AA380" s="243"/>
      <c r="AB380" s="237"/>
      <c r="AC380" s="243"/>
      <c r="AD380" s="237"/>
      <c r="AE380" s="243"/>
      <c r="AF380" s="237"/>
      <c r="AG380" s="243"/>
      <c r="AH380" s="237"/>
      <c r="AI380" s="243"/>
    </row>
    <row r="381" spans="2:35">
      <c r="B381" s="420"/>
      <c r="C381" s="243"/>
      <c r="D381" s="237">
        <f>F381+H381+J381+L381+N381+P381+R381+T381+V381+X381+Z381+AB381+AD381+AF381+AH381</f>
        <v>0</v>
      </c>
      <c r="E381" s="243"/>
      <c r="F381" s="237"/>
      <c r="G381" s="243"/>
      <c r="H381" s="237"/>
      <c r="I381" s="243"/>
      <c r="J381" s="237"/>
      <c r="K381" s="243"/>
      <c r="L381" s="237"/>
      <c r="M381" s="243"/>
      <c r="N381" s="237"/>
      <c r="O381" s="243"/>
      <c r="P381" s="237"/>
      <c r="Q381" s="243"/>
      <c r="R381" s="237"/>
      <c r="S381" s="243"/>
      <c r="T381" s="237"/>
      <c r="U381" s="243"/>
      <c r="V381" s="348"/>
      <c r="W381" s="243"/>
      <c r="X381" s="237"/>
      <c r="Y381" s="243"/>
      <c r="Z381" s="237"/>
      <c r="AA381" s="243"/>
      <c r="AB381" s="237"/>
      <c r="AC381" s="243"/>
      <c r="AD381" s="237"/>
      <c r="AE381" s="243"/>
      <c r="AF381" s="237"/>
      <c r="AG381" s="243"/>
      <c r="AH381" s="237"/>
      <c r="AI381" s="243"/>
    </row>
    <row r="382" spans="2:35" ht="12" thickBot="1">
      <c r="B382" s="781"/>
      <c r="C382" s="243"/>
      <c r="D382" s="245">
        <f>F382+H382+J382+L382+N382+P382+R382+T382+V382+X382+Z382+AB382+AD382+AF382+AH382</f>
        <v>0</v>
      </c>
      <c r="E382" s="243">
        <f>+SUM(D379:D382)</f>
        <v>150000000</v>
      </c>
      <c r="F382" s="245"/>
      <c r="G382" s="243">
        <f>+SUM(F379:F382)</f>
        <v>150000000</v>
      </c>
      <c r="H382" s="245"/>
      <c r="I382" s="243">
        <f>+SUM(H379:H382)</f>
        <v>0</v>
      </c>
      <c r="J382" s="245"/>
      <c r="K382" s="243">
        <f>+SUM(J379:J382)</f>
        <v>0</v>
      </c>
      <c r="L382" s="245"/>
      <c r="M382" s="243">
        <f>+SUM(L379:L382)</f>
        <v>0</v>
      </c>
      <c r="N382" s="245"/>
      <c r="O382" s="243">
        <f>+SUM(N379:N382)</f>
        <v>0</v>
      </c>
      <c r="P382" s="245"/>
      <c r="Q382" s="243">
        <f>+SUM(P379:P382)</f>
        <v>0</v>
      </c>
      <c r="R382" s="245"/>
      <c r="S382" s="243">
        <f>+SUM(R379:R382)</f>
        <v>0</v>
      </c>
      <c r="T382" s="245"/>
      <c r="U382" s="243">
        <f>+SUM(T379:T382)</f>
        <v>0</v>
      </c>
      <c r="V382" s="344"/>
      <c r="W382" s="243">
        <f>+SUM(V379:V382)</f>
        <v>0</v>
      </c>
      <c r="X382" s="245"/>
      <c r="Y382" s="243">
        <f>+SUM(X379:X382)</f>
        <v>0</v>
      </c>
      <c r="Z382" s="245"/>
      <c r="AA382" s="243">
        <f>+SUM(Z379:Z382)</f>
        <v>0</v>
      </c>
      <c r="AB382" s="245"/>
      <c r="AC382" s="243">
        <f>+SUM(AB379:AB382)</f>
        <v>0</v>
      </c>
      <c r="AD382" s="245"/>
      <c r="AE382" s="243">
        <f>+SUM(AD379:AD382)</f>
        <v>0</v>
      </c>
      <c r="AF382" s="245"/>
      <c r="AG382" s="243">
        <f>+SUM(AF379:AF382)</f>
        <v>0</v>
      </c>
      <c r="AH382" s="245"/>
      <c r="AI382" s="243">
        <f>+SUM(AH379:AH382)</f>
        <v>0</v>
      </c>
    </row>
    <row r="383" spans="2:35">
      <c r="B383" s="781"/>
      <c r="C383" s="243"/>
      <c r="D383" s="237"/>
      <c r="E383" s="243"/>
      <c r="F383" s="237"/>
      <c r="G383" s="243"/>
      <c r="H383" s="237"/>
      <c r="I383" s="243"/>
      <c r="J383" s="237"/>
      <c r="K383" s="243"/>
      <c r="L383" s="237"/>
      <c r="M383" s="243"/>
      <c r="N383" s="237"/>
      <c r="O383" s="243"/>
      <c r="P383" s="237"/>
      <c r="Q383" s="243"/>
      <c r="R383" s="237"/>
      <c r="S383" s="243"/>
      <c r="T383" s="237"/>
      <c r="U383" s="243"/>
      <c r="V383" s="348"/>
      <c r="W383" s="243"/>
      <c r="X383" s="237"/>
      <c r="Y383" s="243"/>
      <c r="Z383" s="237"/>
      <c r="AA383" s="243"/>
      <c r="AB383" s="237"/>
      <c r="AC383" s="243"/>
      <c r="AD383" s="237"/>
      <c r="AE383" s="243"/>
      <c r="AF383" s="237"/>
      <c r="AG383" s="243"/>
      <c r="AH383" s="237"/>
      <c r="AI383" s="243"/>
    </row>
    <row r="384" spans="2:35" ht="21">
      <c r="B384" s="392" t="s">
        <v>111</v>
      </c>
      <c r="C384" s="243"/>
      <c r="D384" s="237"/>
      <c r="F384" s="237"/>
      <c r="G384" s="243"/>
      <c r="H384" s="237"/>
      <c r="I384" s="243"/>
      <c r="J384" s="237"/>
      <c r="K384" s="243">
        <v>0</v>
      </c>
      <c r="L384" s="237"/>
      <c r="M384" s="243">
        <v>0</v>
      </c>
      <c r="N384" s="237"/>
      <c r="O384" s="243">
        <v>0</v>
      </c>
      <c r="P384" s="237"/>
      <c r="Q384" s="243">
        <v>0</v>
      </c>
      <c r="R384" s="237"/>
      <c r="S384" s="243">
        <v>0</v>
      </c>
      <c r="T384" s="237"/>
      <c r="U384" s="243">
        <v>0</v>
      </c>
      <c r="V384" s="348"/>
      <c r="W384" s="243">
        <v>0</v>
      </c>
      <c r="X384" s="237"/>
      <c r="Y384" s="243">
        <v>0</v>
      </c>
      <c r="Z384" s="237"/>
      <c r="AA384" s="243">
        <v>0</v>
      </c>
      <c r="AB384" s="237"/>
      <c r="AC384" s="243">
        <v>0</v>
      </c>
      <c r="AD384" s="237"/>
      <c r="AE384" s="243">
        <v>0</v>
      </c>
      <c r="AF384" s="237"/>
      <c r="AG384" s="243">
        <v>0</v>
      </c>
      <c r="AH384" s="237"/>
      <c r="AI384" s="243">
        <v>0</v>
      </c>
    </row>
    <row r="385" spans="2:35">
      <c r="B385" s="113" t="s">
        <v>1182</v>
      </c>
      <c r="C385" s="243"/>
      <c r="D385" s="237"/>
      <c r="E385" s="244">
        <f>G385+I385+K385+M385+O385+Q385+S385+U385+W385+Y385+AA385+AC385+AE385+AG385+AI385</f>
        <v>28200</v>
      </c>
      <c r="F385" s="237"/>
      <c r="G385" s="243">
        <v>28200</v>
      </c>
      <c r="H385" s="237"/>
      <c r="I385" s="243"/>
      <c r="J385" s="237"/>
      <c r="K385" s="243"/>
      <c r="L385" s="237"/>
      <c r="M385" s="243"/>
      <c r="N385" s="237"/>
      <c r="O385" s="243"/>
      <c r="P385" s="237"/>
      <c r="Q385" s="243"/>
      <c r="R385" s="237"/>
      <c r="S385" s="243"/>
      <c r="T385" s="237"/>
      <c r="U385" s="243"/>
      <c r="V385" s="348"/>
      <c r="W385" s="243"/>
      <c r="X385" s="237"/>
      <c r="Y385" s="243"/>
      <c r="Z385" s="237"/>
      <c r="AA385" s="243"/>
      <c r="AB385" s="237"/>
      <c r="AC385" s="243"/>
      <c r="AD385" s="237"/>
      <c r="AE385" s="243"/>
      <c r="AF385" s="237"/>
      <c r="AG385" s="243"/>
      <c r="AH385" s="237"/>
      <c r="AI385" s="243"/>
    </row>
    <row r="386" spans="2:35">
      <c r="B386" s="392" t="s">
        <v>112</v>
      </c>
      <c r="C386" s="243"/>
      <c r="D386" s="237"/>
      <c r="E386" s="243"/>
      <c r="F386" s="237"/>
      <c r="G386" s="243"/>
      <c r="H386" s="237"/>
      <c r="I386" s="243"/>
      <c r="J386" s="237"/>
      <c r="K386" s="243"/>
      <c r="L386" s="237"/>
      <c r="M386" s="243"/>
      <c r="N386" s="237"/>
      <c r="O386" s="243"/>
      <c r="P386" s="237"/>
      <c r="Q386" s="243"/>
      <c r="R386" s="237"/>
      <c r="S386" s="243"/>
      <c r="T386" s="237"/>
      <c r="U386" s="243"/>
      <c r="V386" s="348"/>
      <c r="W386" s="243"/>
      <c r="X386" s="237"/>
      <c r="Y386" s="243"/>
      <c r="Z386" s="237"/>
      <c r="AA386" s="243"/>
      <c r="AB386" s="237"/>
      <c r="AC386" s="243"/>
      <c r="AD386" s="237"/>
      <c r="AE386" s="243"/>
      <c r="AF386" s="237"/>
      <c r="AG386" s="243"/>
      <c r="AH386" s="237"/>
      <c r="AI386" s="243"/>
    </row>
    <row r="387" spans="2:35">
      <c r="B387" s="420" t="s">
        <v>107</v>
      </c>
      <c r="C387" s="243"/>
      <c r="D387" s="237">
        <f>F387+H387+J387+L387+N387+P387+R387+T387+V387+X387+Z387+AB387+AD387+AF387+AH387</f>
        <v>0</v>
      </c>
      <c r="E387" s="243"/>
      <c r="F387" s="237"/>
      <c r="G387" s="243"/>
      <c r="H387" s="237"/>
      <c r="I387" s="243"/>
      <c r="J387" s="237"/>
      <c r="K387" s="243"/>
      <c r="L387" s="237"/>
      <c r="M387" s="243"/>
      <c r="N387" s="237"/>
      <c r="O387" s="243"/>
      <c r="P387" s="237"/>
      <c r="Q387" s="243"/>
      <c r="R387" s="237"/>
      <c r="S387" s="243"/>
      <c r="T387" s="237"/>
      <c r="U387" s="243"/>
      <c r="V387" s="348"/>
      <c r="W387" s="243"/>
      <c r="X387" s="237"/>
      <c r="Y387" s="243"/>
      <c r="Z387" s="237"/>
      <c r="AA387" s="243"/>
      <c r="AB387" s="237"/>
      <c r="AC387" s="243"/>
      <c r="AD387" s="237"/>
      <c r="AE387" s="243"/>
      <c r="AF387" s="237"/>
      <c r="AG387" s="243"/>
      <c r="AH387" s="237"/>
      <c r="AI387" s="243"/>
    </row>
    <row r="388" spans="2:35">
      <c r="B388" s="420" t="s">
        <v>108</v>
      </c>
      <c r="C388" s="243"/>
      <c r="D388" s="237">
        <f>F388+H388+J388+L388+N388+P388+R388+T388+V388+X388+Z388+AB388+AD388+AF388+AH388</f>
        <v>0</v>
      </c>
      <c r="E388" s="243"/>
      <c r="F388" s="237"/>
      <c r="G388" s="243"/>
      <c r="H388" s="237"/>
      <c r="I388" s="243"/>
      <c r="J388" s="237"/>
      <c r="K388" s="243"/>
      <c r="L388" s="237"/>
      <c r="M388" s="243"/>
      <c r="N388" s="237"/>
      <c r="O388" s="243"/>
      <c r="P388" s="237"/>
      <c r="Q388" s="243"/>
      <c r="R388" s="237"/>
      <c r="S388" s="243"/>
      <c r="T388" s="237"/>
      <c r="U388" s="243"/>
      <c r="V388" s="348"/>
      <c r="W388" s="243"/>
      <c r="X388" s="237"/>
      <c r="Y388" s="243"/>
      <c r="Z388" s="237"/>
      <c r="AA388" s="243"/>
      <c r="AB388" s="237"/>
      <c r="AC388" s="243"/>
      <c r="AD388" s="237"/>
      <c r="AE388" s="243"/>
      <c r="AF388" s="237"/>
      <c r="AG388" s="243"/>
      <c r="AH388" s="237"/>
      <c r="AI388" s="243"/>
    </row>
    <row r="389" spans="2:35">
      <c r="B389" s="420" t="s">
        <v>109</v>
      </c>
      <c r="C389" s="243"/>
      <c r="D389" s="237">
        <f>F389+H389+J389+L389+N389+P389+R389+T389+V389+X389+Z389+AB389+AD389+AF389+AH389</f>
        <v>0</v>
      </c>
      <c r="E389" s="243"/>
      <c r="F389" s="237"/>
      <c r="G389" s="243"/>
      <c r="H389" s="237"/>
      <c r="I389" s="243"/>
      <c r="J389" s="237"/>
      <c r="K389" s="243"/>
      <c r="L389" s="237"/>
      <c r="M389" s="243"/>
      <c r="N389" s="237"/>
      <c r="O389" s="243"/>
      <c r="P389" s="237"/>
      <c r="Q389" s="243"/>
      <c r="R389" s="237"/>
      <c r="S389" s="243"/>
      <c r="T389" s="237"/>
      <c r="U389" s="243"/>
      <c r="V389" s="348"/>
      <c r="W389" s="243"/>
      <c r="X389" s="237"/>
      <c r="Y389" s="243"/>
      <c r="Z389" s="237"/>
      <c r="AA389" s="243"/>
      <c r="AB389" s="237"/>
      <c r="AC389" s="243"/>
      <c r="AD389" s="237"/>
      <c r="AE389" s="243"/>
      <c r="AF389" s="237"/>
      <c r="AG389" s="243"/>
      <c r="AH389" s="237"/>
      <c r="AI389" s="243"/>
    </row>
    <row r="390" spans="2:35" ht="12" thickBot="1">
      <c r="B390" s="781" t="s">
        <v>110</v>
      </c>
      <c r="C390" s="243"/>
      <c r="D390" s="245">
        <f>F390+H390+J390+L390+N390+P390+R390+T390+V390+X390+Z390+AB390+AD390+AF390+AH390</f>
        <v>0</v>
      </c>
      <c r="E390" s="243">
        <f>+SUM(D387:D390)</f>
        <v>0</v>
      </c>
      <c r="F390" s="245"/>
      <c r="G390" s="243">
        <f>+SUM(F387:F390)</f>
        <v>0</v>
      </c>
      <c r="H390" s="245"/>
      <c r="I390" s="243">
        <f>+SUM(H387:H390)</f>
        <v>0</v>
      </c>
      <c r="J390" s="245"/>
      <c r="K390" s="243">
        <f>+SUM(J387:J390)</f>
        <v>0</v>
      </c>
      <c r="L390" s="245"/>
      <c r="M390" s="243">
        <f>+SUM(L387:L390)</f>
        <v>0</v>
      </c>
      <c r="N390" s="245"/>
      <c r="O390" s="243">
        <f>+SUM(N387:N390)</f>
        <v>0</v>
      </c>
      <c r="P390" s="245"/>
      <c r="Q390" s="243">
        <f>+SUM(P387:P390)</f>
        <v>0</v>
      </c>
      <c r="R390" s="245"/>
      <c r="S390" s="243">
        <f>+SUM(R387:R390)</f>
        <v>0</v>
      </c>
      <c r="T390" s="245"/>
      <c r="U390" s="243">
        <f>+SUM(T387:T390)</f>
        <v>0</v>
      </c>
      <c r="V390" s="344"/>
      <c r="W390" s="243">
        <f>+SUM(V387:V390)</f>
        <v>0</v>
      </c>
      <c r="X390" s="245"/>
      <c r="Y390" s="243">
        <f>+SUM(X387:X390)</f>
        <v>0</v>
      </c>
      <c r="Z390" s="245"/>
      <c r="AA390" s="243">
        <f>+SUM(Z387:Z390)</f>
        <v>0</v>
      </c>
      <c r="AB390" s="245"/>
      <c r="AC390" s="243">
        <f>+SUM(AB387:AB390)</f>
        <v>0</v>
      </c>
      <c r="AD390" s="245"/>
      <c r="AE390" s="243">
        <f>+SUM(AD387:AD390)</f>
        <v>0</v>
      </c>
      <c r="AF390" s="245"/>
      <c r="AG390" s="243">
        <f>+SUM(AF387:AF390)</f>
        <v>0</v>
      </c>
      <c r="AH390" s="245"/>
      <c r="AI390" s="243">
        <f>+SUM(AH387:AH390)</f>
        <v>0</v>
      </c>
    </row>
    <row r="391" spans="2:35">
      <c r="B391" s="781"/>
      <c r="C391" s="243"/>
      <c r="D391" s="237"/>
      <c r="E391" s="243"/>
      <c r="F391" s="237"/>
      <c r="G391" s="243"/>
      <c r="H391" s="237"/>
      <c r="I391" s="243"/>
      <c r="J391" s="237"/>
      <c r="K391" s="243"/>
      <c r="L391" s="237"/>
      <c r="M391" s="243"/>
      <c r="N391" s="237"/>
      <c r="O391" s="243"/>
      <c r="P391" s="237"/>
      <c r="Q391" s="243"/>
      <c r="R391" s="237"/>
      <c r="S391" s="243"/>
      <c r="T391" s="237"/>
      <c r="U391" s="243"/>
      <c r="V391" s="348"/>
      <c r="W391" s="243"/>
      <c r="X391" s="237"/>
      <c r="Y391" s="243"/>
      <c r="Z391" s="237"/>
      <c r="AA391" s="243"/>
      <c r="AB391" s="237"/>
      <c r="AC391" s="243"/>
      <c r="AD391" s="237"/>
      <c r="AE391" s="243"/>
      <c r="AF391" s="237"/>
      <c r="AG391" s="243"/>
      <c r="AH391" s="237"/>
      <c r="AI391" s="243"/>
    </row>
    <row r="392" spans="2:35" ht="12" thickBot="1">
      <c r="B392" s="781" t="s">
        <v>806</v>
      </c>
      <c r="C392" s="243"/>
      <c r="D392" s="237"/>
      <c r="E392" s="246">
        <f>+SUM(E378:E391)</f>
        <v>150028200</v>
      </c>
      <c r="F392" s="237"/>
      <c r="G392" s="246">
        <f>+SUM(G378:G391)</f>
        <v>150028200</v>
      </c>
      <c r="H392" s="237"/>
      <c r="I392" s="246">
        <f>+SUM(I378:I391)</f>
        <v>0</v>
      </c>
      <c r="J392" s="237"/>
      <c r="K392" s="246">
        <f>+SUM(K378:K391)</f>
        <v>0</v>
      </c>
      <c r="L392" s="237"/>
      <c r="M392" s="246">
        <f>+SUM(M378:M391)</f>
        <v>0</v>
      </c>
      <c r="N392" s="237"/>
      <c r="O392" s="246">
        <f>+SUM(O378:O391)</f>
        <v>0</v>
      </c>
      <c r="P392" s="237"/>
      <c r="Q392" s="246">
        <f>+SUM(Q378:Q391)</f>
        <v>0</v>
      </c>
      <c r="R392" s="237"/>
      <c r="S392" s="246">
        <f>+SUM(S378:S391)</f>
        <v>0</v>
      </c>
      <c r="T392" s="237"/>
      <c r="U392" s="246">
        <f>+SUM(U378:U391)</f>
        <v>0</v>
      </c>
      <c r="V392" s="348"/>
      <c r="W392" s="246">
        <f>+SUM(W378:W391)</f>
        <v>0</v>
      </c>
      <c r="X392" s="237"/>
      <c r="Y392" s="246">
        <f>+SUM(Y378:Y391)</f>
        <v>0</v>
      </c>
      <c r="Z392" s="237"/>
      <c r="AA392" s="246">
        <f>+SUM(AA378:AA391)</f>
        <v>0</v>
      </c>
      <c r="AB392" s="237"/>
      <c r="AC392" s="246">
        <f>+SUM(AC378:AC391)</f>
        <v>0</v>
      </c>
      <c r="AD392" s="237"/>
      <c r="AE392" s="246">
        <f>+SUM(AE378:AE391)</f>
        <v>0</v>
      </c>
      <c r="AF392" s="237"/>
      <c r="AG392" s="246">
        <f>+SUM(AG378:AG391)</f>
        <v>0</v>
      </c>
      <c r="AH392" s="237"/>
      <c r="AI392" s="246">
        <f>+SUM(AI378:AI391)</f>
        <v>0</v>
      </c>
    </row>
    <row r="393" spans="2:35" ht="12.75" thickTop="1" thickBot="1">
      <c r="B393" s="245"/>
      <c r="C393" s="247"/>
      <c r="D393" s="245"/>
      <c r="E393" s="247"/>
      <c r="F393" s="245"/>
      <c r="G393" s="247"/>
      <c r="H393" s="245"/>
      <c r="I393" s="247"/>
      <c r="J393" s="245"/>
      <c r="K393" s="247"/>
      <c r="L393" s="245"/>
      <c r="M393" s="247"/>
      <c r="N393" s="245"/>
      <c r="O393" s="247"/>
      <c r="P393" s="245"/>
      <c r="Q393" s="247"/>
      <c r="R393" s="245"/>
      <c r="S393" s="247"/>
      <c r="T393" s="245"/>
      <c r="U393" s="247"/>
      <c r="V393" s="344"/>
      <c r="W393" s="247"/>
      <c r="X393" s="245"/>
      <c r="Y393" s="247"/>
      <c r="Z393" s="245"/>
      <c r="AA393" s="247"/>
      <c r="AB393" s="245"/>
      <c r="AC393" s="247"/>
      <c r="AD393" s="245"/>
      <c r="AE393" s="247"/>
      <c r="AF393" s="245"/>
      <c r="AG393" s="247"/>
      <c r="AH393" s="245"/>
      <c r="AI393" s="247"/>
    </row>
    <row r="395" spans="2:35" ht="34.5" hidden="1" customHeight="1">
      <c r="B395" s="1475" t="s">
        <v>928</v>
      </c>
      <c r="C395" s="1475"/>
      <c r="D395" s="1475"/>
      <c r="E395" s="1475"/>
      <c r="F395" s="1475"/>
      <c r="G395" s="1475"/>
    </row>
    <row r="396" spans="2:35" hidden="1"/>
    <row r="397" spans="2:35">
      <c r="B397" s="318" t="s">
        <v>113</v>
      </c>
    </row>
    <row r="398" spans="2:35" hidden="1"/>
    <row r="399" spans="2:35" ht="12" thickBot="1">
      <c r="G399" s="335" t="s">
        <v>247</v>
      </c>
    </row>
    <row r="400" spans="2:35" ht="12" thickBot="1">
      <c r="B400" s="365"/>
      <c r="C400" s="274"/>
      <c r="D400" s="1463" t="s">
        <v>860</v>
      </c>
      <c r="E400" s="1464"/>
      <c r="F400" s="1463" t="s">
        <v>17</v>
      </c>
      <c r="G400" s="1464"/>
      <c r="H400" s="1463" t="s">
        <v>18</v>
      </c>
      <c r="I400" s="1464"/>
      <c r="J400" s="1463" t="s">
        <v>19</v>
      </c>
      <c r="K400" s="1464"/>
      <c r="L400" s="1463" t="s">
        <v>20</v>
      </c>
      <c r="M400" s="1464"/>
      <c r="N400" s="1463" t="s">
        <v>21</v>
      </c>
      <c r="O400" s="1464"/>
      <c r="P400" s="1463" t="s">
        <v>22</v>
      </c>
      <c r="Q400" s="1464"/>
      <c r="R400" s="1463" t="s">
        <v>23</v>
      </c>
      <c r="S400" s="1464"/>
      <c r="T400" s="1463" t="s">
        <v>24</v>
      </c>
      <c r="U400" s="1464"/>
      <c r="V400" s="1463" t="s">
        <v>25</v>
      </c>
      <c r="W400" s="1464"/>
      <c r="X400" s="1463" t="s">
        <v>26</v>
      </c>
      <c r="Y400" s="1464"/>
      <c r="Z400" s="1463" t="s">
        <v>27</v>
      </c>
      <c r="AA400" s="1464"/>
      <c r="AB400" s="1463" t="s">
        <v>28</v>
      </c>
      <c r="AC400" s="1464"/>
      <c r="AD400" s="1463" t="s">
        <v>29</v>
      </c>
      <c r="AE400" s="1464"/>
      <c r="AF400" s="1463" t="s">
        <v>30</v>
      </c>
      <c r="AG400" s="1464"/>
      <c r="AH400" s="1463" t="s">
        <v>31</v>
      </c>
      <c r="AI400" s="1464"/>
    </row>
    <row r="401" spans="2:35">
      <c r="B401" s="237"/>
      <c r="C401" s="243"/>
      <c r="D401" s="237"/>
      <c r="E401" s="243"/>
      <c r="F401" s="244"/>
      <c r="G401" s="243"/>
      <c r="H401" s="244"/>
      <c r="I401" s="243"/>
      <c r="J401" s="244"/>
      <c r="K401" s="243"/>
      <c r="L401" s="244"/>
      <c r="M401" s="243"/>
      <c r="N401" s="244"/>
      <c r="O401" s="243"/>
      <c r="P401" s="244"/>
      <c r="Q401" s="243"/>
      <c r="R401" s="244"/>
      <c r="S401" s="243"/>
      <c r="T401" s="244"/>
      <c r="U401" s="243"/>
      <c r="V401" s="341"/>
      <c r="W401" s="243"/>
      <c r="X401" s="244"/>
      <c r="Y401" s="243"/>
      <c r="Z401" s="244"/>
      <c r="AA401" s="243"/>
      <c r="AB401" s="244"/>
      <c r="AC401" s="243"/>
      <c r="AD401" s="244"/>
      <c r="AE401" s="243"/>
      <c r="AF401" s="244"/>
      <c r="AG401" s="243"/>
      <c r="AH401" s="244"/>
      <c r="AI401" s="243"/>
    </row>
    <row r="402" spans="2:35">
      <c r="B402" s="364" t="s">
        <v>115</v>
      </c>
      <c r="C402" s="243"/>
      <c r="D402" s="237">
        <f>F402+H402+J402+L402+N402+P402+R402+T402+V402+X402+Z402+AB402+AD402+AF402+AH402</f>
        <v>100480852</v>
      </c>
      <c r="E402" s="243"/>
      <c r="F402" s="244"/>
      <c r="G402" s="243"/>
      <c r="H402" s="244"/>
      <c r="I402" s="243"/>
      <c r="J402" s="244"/>
      <c r="K402" s="243"/>
      <c r="L402" s="244"/>
      <c r="M402" s="243"/>
      <c r="N402" s="244"/>
      <c r="O402" s="243"/>
      <c r="P402" s="244"/>
      <c r="Q402" s="243"/>
      <c r="R402" s="244"/>
      <c r="S402" s="243"/>
      <c r="T402" s="244"/>
      <c r="U402" s="243"/>
      <c r="V402" s="341"/>
      <c r="W402" s="243"/>
      <c r="X402" s="244"/>
      <c r="Y402" s="243"/>
      <c r="Z402" s="244"/>
      <c r="AA402" s="243"/>
      <c r="AB402" s="244"/>
      <c r="AC402" s="243"/>
      <c r="AD402" s="244">
        <v>100480852</v>
      </c>
      <c r="AE402" s="243"/>
      <c r="AF402" s="244"/>
      <c r="AG402" s="243"/>
      <c r="AH402" s="244"/>
      <c r="AI402" s="243"/>
    </row>
    <row r="403" spans="2:35">
      <c r="B403" s="364" t="s">
        <v>116</v>
      </c>
      <c r="C403" s="243"/>
      <c r="D403" s="237">
        <f>F403+H403+J403+L403+N403+P403+R403+T403+V403+X403+Z403+AB403+AD403+AF403+AH403</f>
        <v>0</v>
      </c>
      <c r="E403" s="243"/>
      <c r="F403" s="244"/>
      <c r="G403" s="243"/>
      <c r="H403" s="244"/>
      <c r="I403" s="243"/>
      <c r="J403" s="244"/>
      <c r="K403" s="243"/>
      <c r="L403" s="244"/>
      <c r="M403" s="243"/>
      <c r="N403" s="244"/>
      <c r="O403" s="243"/>
      <c r="P403" s="244"/>
      <c r="Q403" s="243"/>
      <c r="R403" s="244"/>
      <c r="S403" s="243"/>
      <c r="T403" s="244"/>
      <c r="U403" s="243"/>
      <c r="V403" s="341"/>
      <c r="W403" s="243"/>
      <c r="X403" s="244"/>
      <c r="Y403" s="243"/>
      <c r="Z403" s="244"/>
      <c r="AA403" s="243"/>
      <c r="AB403" s="244"/>
      <c r="AC403" s="243"/>
      <c r="AD403" s="244">
        <v>0</v>
      </c>
      <c r="AE403" s="243"/>
      <c r="AF403" s="244"/>
      <c r="AG403" s="243"/>
      <c r="AH403" s="244"/>
      <c r="AI403" s="243"/>
    </row>
    <row r="404" spans="2:35">
      <c r="B404" s="364" t="s">
        <v>117</v>
      </c>
      <c r="C404" s="243"/>
      <c r="D404" s="237">
        <f>F404+H404+J404+L404+N404+P404+R404+T404+V404+X404+Z404+AB404+AD404+AF404+AH404</f>
        <v>845317521</v>
      </c>
      <c r="E404" s="243"/>
      <c r="F404" s="244"/>
      <c r="G404" s="243"/>
      <c r="H404" s="244"/>
      <c r="I404" s="243"/>
      <c r="J404" s="244"/>
      <c r="K404" s="243"/>
      <c r="L404" s="244"/>
      <c r="M404" s="243"/>
      <c r="N404" s="244"/>
      <c r="O404" s="243"/>
      <c r="P404" s="244"/>
      <c r="Q404" s="243"/>
      <c r="R404" s="244"/>
      <c r="S404" s="243"/>
      <c r="T404" s="244"/>
      <c r="U404" s="243"/>
      <c r="V404" s="341"/>
      <c r="W404" s="243"/>
      <c r="X404" s="244"/>
      <c r="Y404" s="243"/>
      <c r="Z404" s="244"/>
      <c r="AA404" s="243"/>
      <c r="AB404" s="244"/>
      <c r="AC404" s="243"/>
      <c r="AD404" s="244">
        <v>845317521</v>
      </c>
      <c r="AE404" s="243"/>
      <c r="AF404" s="244"/>
      <c r="AG404" s="243"/>
      <c r="AH404" s="244"/>
      <c r="AI404" s="243"/>
    </row>
    <row r="405" spans="2:35">
      <c r="B405" s="364" t="s">
        <v>118</v>
      </c>
      <c r="C405" s="243"/>
      <c r="D405" s="237">
        <f>F405+H405+J405+L405+N405+P405+R405+T405+V405+X405+Z405+AB405+AD405+AF405+AH405</f>
        <v>7941794918</v>
      </c>
      <c r="E405" s="243"/>
      <c r="F405" s="244">
        <v>806678</v>
      </c>
      <c r="G405" s="243"/>
      <c r="H405" s="244">
        <v>54690507</v>
      </c>
      <c r="I405" s="243"/>
      <c r="J405" s="244">
        <v>777223549</v>
      </c>
      <c r="K405" s="243"/>
      <c r="L405" s="244">
        <v>1226118774</v>
      </c>
      <c r="M405" s="243"/>
      <c r="N405" s="244">
        <v>40771149</v>
      </c>
      <c r="O405" s="243"/>
      <c r="P405" s="244">
        <v>691620535</v>
      </c>
      <c r="Q405" s="243"/>
      <c r="R405" s="244">
        <v>37478145</v>
      </c>
      <c r="S405" s="243"/>
      <c r="T405" s="244">
        <v>3506721399</v>
      </c>
      <c r="U405" s="243"/>
      <c r="V405" s="341">
        <v>1015774835</v>
      </c>
      <c r="W405" s="243"/>
      <c r="X405" s="244">
        <v>42445999</v>
      </c>
      <c r="Y405" s="243"/>
      <c r="Z405" s="244">
        <v>138934772</v>
      </c>
      <c r="AA405" s="243"/>
      <c r="AB405" s="244">
        <v>43861865</v>
      </c>
      <c r="AC405" s="243"/>
      <c r="AD405" s="244">
        <v>21363701</v>
      </c>
      <c r="AE405" s="243"/>
      <c r="AF405" s="244">
        <v>343983010</v>
      </c>
      <c r="AG405" s="243"/>
      <c r="AH405" s="244"/>
      <c r="AI405" s="243"/>
    </row>
    <row r="406" spans="2:35" ht="21">
      <c r="B406" s="364" t="s">
        <v>114</v>
      </c>
      <c r="C406" s="243"/>
      <c r="D406" s="237"/>
      <c r="E406" s="243"/>
      <c r="F406" s="244"/>
      <c r="G406" s="243"/>
      <c r="H406" s="244"/>
      <c r="I406" s="243"/>
      <c r="J406" s="244"/>
      <c r="K406" s="243"/>
      <c r="L406" s="244"/>
      <c r="M406" s="243"/>
      <c r="N406" s="244"/>
      <c r="O406" s="243"/>
      <c r="P406" s="244"/>
      <c r="Q406" s="243"/>
      <c r="R406" s="244"/>
      <c r="S406" s="243"/>
      <c r="T406" s="244"/>
      <c r="U406" s="243"/>
      <c r="V406" s="341"/>
      <c r="W406" s="243"/>
      <c r="X406" s="244"/>
      <c r="Y406" s="243"/>
      <c r="Z406" s="244"/>
      <c r="AA406" s="243"/>
      <c r="AB406" s="244"/>
      <c r="AC406" s="243"/>
      <c r="AD406" s="244"/>
      <c r="AE406" s="243"/>
      <c r="AF406" s="244"/>
      <c r="AG406" s="243"/>
      <c r="AH406" s="244"/>
      <c r="AI406" s="243"/>
    </row>
    <row r="407" spans="2:35">
      <c r="B407" s="364" t="s">
        <v>119</v>
      </c>
      <c r="C407" s="243"/>
      <c r="D407" s="237">
        <f>F407+H407+J407+L407+N407+P407+R407+T407+V407+X407+Z407+AB407+AD407+AF407+AH407</f>
        <v>0</v>
      </c>
      <c r="E407" s="243"/>
      <c r="F407" s="244"/>
      <c r="G407" s="243"/>
      <c r="H407" s="244"/>
      <c r="I407" s="243"/>
      <c r="J407" s="244"/>
      <c r="K407" s="243"/>
      <c r="L407" s="244"/>
      <c r="M407" s="243"/>
      <c r="N407" s="244"/>
      <c r="O407" s="243"/>
      <c r="P407" s="244"/>
      <c r="Q407" s="243"/>
      <c r="R407" s="244"/>
      <c r="S407" s="243"/>
      <c r="T407" s="244"/>
      <c r="U407" s="243"/>
      <c r="V407" s="341"/>
      <c r="W407" s="243"/>
      <c r="X407" s="244"/>
      <c r="Y407" s="243"/>
      <c r="Z407" s="244"/>
      <c r="AA407" s="243"/>
      <c r="AB407" s="244"/>
      <c r="AC407" s="243"/>
      <c r="AD407" s="244">
        <v>0</v>
      </c>
      <c r="AE407" s="243"/>
      <c r="AF407" s="244"/>
      <c r="AG407" s="243"/>
      <c r="AH407" s="244"/>
      <c r="AI407" s="243"/>
    </row>
    <row r="408" spans="2:35">
      <c r="B408" s="364" t="s">
        <v>120</v>
      </c>
      <c r="C408" s="243"/>
      <c r="D408" s="237">
        <f>F408+H408+J408+L408+N408+P408+R408+T408+V408+X408+Z408+AB408+AD408+AF408+AH408</f>
        <v>0</v>
      </c>
      <c r="E408" s="243"/>
      <c r="F408" s="244"/>
      <c r="G408" s="243"/>
      <c r="H408" s="244"/>
      <c r="I408" s="243"/>
      <c r="J408" s="244"/>
      <c r="K408" s="243"/>
      <c r="L408" s="244"/>
      <c r="M408" s="243"/>
      <c r="N408" s="244"/>
      <c r="O408" s="243"/>
      <c r="P408" s="244"/>
      <c r="Q408" s="243"/>
      <c r="R408" s="244"/>
      <c r="S408" s="243"/>
      <c r="T408" s="244"/>
      <c r="U408" s="243"/>
      <c r="V408" s="341"/>
      <c r="W408" s="243"/>
      <c r="X408" s="244"/>
      <c r="Y408" s="243"/>
      <c r="Z408" s="244"/>
      <c r="AA408" s="243"/>
      <c r="AB408" s="244"/>
      <c r="AC408" s="243"/>
      <c r="AD408" s="244">
        <v>0</v>
      </c>
      <c r="AE408" s="243"/>
      <c r="AF408" s="244"/>
      <c r="AG408" s="243"/>
      <c r="AH408" s="244"/>
      <c r="AI408" s="243"/>
    </row>
    <row r="409" spans="2:35">
      <c r="B409" s="364" t="s">
        <v>121</v>
      </c>
      <c r="C409" s="243"/>
      <c r="D409" s="237">
        <f>F409+H409+J409+L409+N409+P409+R409+T409+V409+X409+Z409+AB409+AD409+AF409+AH409</f>
        <v>650000</v>
      </c>
      <c r="E409" s="243"/>
      <c r="F409" s="244"/>
      <c r="G409" s="243"/>
      <c r="H409" s="244"/>
      <c r="I409" s="243"/>
      <c r="J409" s="244"/>
      <c r="K409" s="243"/>
      <c r="L409" s="244"/>
      <c r="M409" s="243"/>
      <c r="N409" s="244"/>
      <c r="O409" s="243"/>
      <c r="P409" s="244"/>
      <c r="Q409" s="243"/>
      <c r="R409" s="244"/>
      <c r="S409" s="243"/>
      <c r="T409" s="244"/>
      <c r="U409" s="243"/>
      <c r="V409" s="341"/>
      <c r="W409" s="243"/>
      <c r="X409" s="244"/>
      <c r="Y409" s="243"/>
      <c r="Z409" s="244"/>
      <c r="AA409" s="243"/>
      <c r="AB409" s="244"/>
      <c r="AC409" s="243"/>
      <c r="AD409" s="244">
        <v>650000</v>
      </c>
      <c r="AE409" s="243"/>
      <c r="AF409" s="244"/>
      <c r="AG409" s="243"/>
      <c r="AH409" s="244"/>
      <c r="AI409" s="243"/>
    </row>
    <row r="410" spans="2:35" ht="12" thickBot="1">
      <c r="B410" s="364" t="s">
        <v>122</v>
      </c>
      <c r="C410" s="243"/>
      <c r="D410" s="245">
        <f>F410+H410+J410+L410+N410+P410+R410+T410+V410+X410+Z410+AB410+AD410+AF410+AH410</f>
        <v>0</v>
      </c>
      <c r="E410" s="243">
        <f>+SUM(D402:D410)</f>
        <v>8888243291</v>
      </c>
      <c r="F410" s="245"/>
      <c r="G410" s="243">
        <f>+SUM(F402:F410)</f>
        <v>806678</v>
      </c>
      <c r="H410" s="245"/>
      <c r="I410" s="243">
        <f>+SUM(H402:H410)</f>
        <v>54690507</v>
      </c>
      <c r="J410" s="245"/>
      <c r="K410" s="243">
        <f>+SUM(J402:J410)</f>
        <v>777223549</v>
      </c>
      <c r="L410" s="245"/>
      <c r="M410" s="243">
        <f>+SUM(L402:L410)</f>
        <v>1226118774</v>
      </c>
      <c r="N410" s="245"/>
      <c r="O410" s="243">
        <f>+SUM(N402:N410)</f>
        <v>40771149</v>
      </c>
      <c r="P410" s="245"/>
      <c r="Q410" s="243">
        <f>+SUM(P402:P410)</f>
        <v>691620535</v>
      </c>
      <c r="R410" s="245"/>
      <c r="S410" s="243">
        <f>+SUM(R402:R410)</f>
        <v>37478145</v>
      </c>
      <c r="T410" s="245"/>
      <c r="U410" s="243">
        <f>+SUM(T402:T410)</f>
        <v>3506721399</v>
      </c>
      <c r="V410" s="344"/>
      <c r="W410" s="243">
        <f>+SUM(V402:V410)</f>
        <v>1015774835</v>
      </c>
      <c r="X410" s="245"/>
      <c r="Y410" s="243">
        <f>+SUM(X402:X410)</f>
        <v>42445999</v>
      </c>
      <c r="Z410" s="245"/>
      <c r="AA410" s="243">
        <f>+SUM(Z402:Z410)</f>
        <v>138934772</v>
      </c>
      <c r="AB410" s="245"/>
      <c r="AC410" s="243">
        <f>+SUM(AB402:AB410)</f>
        <v>43861865</v>
      </c>
      <c r="AD410" s="245"/>
      <c r="AE410" s="243">
        <f>+SUM(AD402:AD410)</f>
        <v>967812074</v>
      </c>
      <c r="AF410" s="245"/>
      <c r="AG410" s="243">
        <f>+SUM(AF402:AF410)</f>
        <v>343983010</v>
      </c>
      <c r="AH410" s="245"/>
      <c r="AI410" s="243">
        <f>+SUM(AH402:AH410)</f>
        <v>0</v>
      </c>
    </row>
    <row r="411" spans="2:35">
      <c r="B411" s="327"/>
      <c r="C411" s="243"/>
      <c r="D411" s="237"/>
      <c r="E411" s="243"/>
      <c r="F411" s="244"/>
      <c r="G411" s="243"/>
      <c r="H411" s="244"/>
      <c r="I411" s="243"/>
      <c r="J411" s="244"/>
      <c r="K411" s="243"/>
      <c r="L411" s="244"/>
      <c r="M411" s="243"/>
      <c r="N411" s="244"/>
      <c r="O411" s="243"/>
      <c r="P411" s="244"/>
      <c r="Q411" s="243"/>
      <c r="R411" s="244"/>
      <c r="S411" s="243"/>
      <c r="T411" s="244"/>
      <c r="U411" s="243"/>
      <c r="V411" s="341"/>
      <c r="W411" s="243"/>
      <c r="X411" s="244"/>
      <c r="Y411" s="243"/>
      <c r="Z411" s="244"/>
      <c r="AA411" s="243"/>
      <c r="AB411" s="244"/>
      <c r="AC411" s="243"/>
      <c r="AD411" s="244"/>
      <c r="AE411" s="243"/>
      <c r="AF411" s="244"/>
      <c r="AG411" s="243"/>
      <c r="AH411" s="244"/>
      <c r="AI411" s="243"/>
    </row>
    <row r="412" spans="2:35" ht="12" thickBot="1">
      <c r="B412" s="784" t="s">
        <v>806</v>
      </c>
      <c r="C412" s="243"/>
      <c r="D412" s="237"/>
      <c r="E412" s="246">
        <f>SUM(E401:E411)</f>
        <v>8888243291</v>
      </c>
      <c r="F412" s="244"/>
      <c r="G412" s="246">
        <f>SUM(G401:G411)</f>
        <v>806678</v>
      </c>
      <c r="H412" s="244"/>
      <c r="I412" s="246">
        <f>SUM(I401:I411)</f>
        <v>54690507</v>
      </c>
      <c r="J412" s="244"/>
      <c r="K412" s="246">
        <f>SUM(K401:K411)</f>
        <v>777223549</v>
      </c>
      <c r="L412" s="244"/>
      <c r="M412" s="246">
        <f>SUM(M401:M411)</f>
        <v>1226118774</v>
      </c>
      <c r="N412" s="244"/>
      <c r="O412" s="246">
        <f>SUM(O401:O411)</f>
        <v>40771149</v>
      </c>
      <c r="P412" s="244"/>
      <c r="Q412" s="246">
        <f>SUM(Q401:Q411)</f>
        <v>691620535</v>
      </c>
      <c r="R412" s="244"/>
      <c r="S412" s="246">
        <f>SUM(S401:S411)</f>
        <v>37478145</v>
      </c>
      <c r="T412" s="244"/>
      <c r="U412" s="246">
        <f>SUM(U401:U411)</f>
        <v>3506721399</v>
      </c>
      <c r="V412" s="341"/>
      <c r="W412" s="246">
        <f>SUM(W401:W411)</f>
        <v>1015774835</v>
      </c>
      <c r="X412" s="244"/>
      <c r="Y412" s="246">
        <f>SUM(Y401:Y411)</f>
        <v>42445999</v>
      </c>
      <c r="Z412" s="244"/>
      <c r="AA412" s="246">
        <f>SUM(AA401:AA411)</f>
        <v>138934772</v>
      </c>
      <c r="AB412" s="244"/>
      <c r="AC412" s="246">
        <f>SUM(AC401:AC411)</f>
        <v>43861865</v>
      </c>
      <c r="AD412" s="244"/>
      <c r="AE412" s="246">
        <f>SUM(AE401:AE411)</f>
        <v>967812074</v>
      </c>
      <c r="AF412" s="244"/>
      <c r="AG412" s="246">
        <f>SUM(AG401:AG411)</f>
        <v>343983010</v>
      </c>
      <c r="AH412" s="244"/>
      <c r="AI412" s="246">
        <f>SUM(AI401:AI411)</f>
        <v>0</v>
      </c>
    </row>
    <row r="413" spans="2:35" ht="12.75" thickTop="1" thickBot="1">
      <c r="B413" s="245"/>
      <c r="C413" s="247"/>
      <c r="D413" s="245"/>
      <c r="E413" s="247"/>
      <c r="F413" s="248"/>
      <c r="G413" s="247"/>
      <c r="H413" s="248"/>
      <c r="I413" s="247"/>
      <c r="J413" s="248"/>
      <c r="K413" s="247"/>
      <c r="L413" s="248"/>
      <c r="M413" s="247"/>
      <c r="N413" s="248"/>
      <c r="O413" s="247"/>
      <c r="P413" s="248"/>
      <c r="Q413" s="247"/>
      <c r="R413" s="248"/>
      <c r="S413" s="247"/>
      <c r="T413" s="248"/>
      <c r="U413" s="247"/>
      <c r="V413" s="384"/>
      <c r="W413" s="247"/>
      <c r="X413" s="248"/>
      <c r="Y413" s="247"/>
      <c r="Z413" s="248"/>
      <c r="AA413" s="247"/>
      <c r="AB413" s="248"/>
      <c r="AC413" s="247"/>
      <c r="AD413" s="248"/>
      <c r="AE413" s="247"/>
      <c r="AF413" s="248"/>
      <c r="AG413" s="247"/>
      <c r="AH413" s="248"/>
      <c r="AI413" s="247"/>
    </row>
    <row r="414" spans="2:35" hidden="1"/>
    <row r="415" spans="2:35" hidden="1">
      <c r="B415" s="1477" t="s">
        <v>123</v>
      </c>
      <c r="C415" s="1477"/>
      <c r="D415" s="1477"/>
      <c r="E415" s="1477"/>
      <c r="F415" s="1477"/>
      <c r="G415" s="1477"/>
    </row>
    <row r="416" spans="2:35" hidden="1">
      <c r="X416" s="301" t="s">
        <v>371</v>
      </c>
    </row>
    <row r="417" spans="2:35" ht="12" hidden="1">
      <c r="B417" s="1477" t="s">
        <v>126</v>
      </c>
      <c r="C417" s="1477"/>
      <c r="D417" s="1477"/>
      <c r="E417" s="1477"/>
      <c r="F417" s="1477"/>
      <c r="G417" s="1477"/>
    </row>
    <row r="418" spans="2:35" hidden="1"/>
    <row r="419" spans="2:35" hidden="1">
      <c r="B419" s="1477" t="s">
        <v>124</v>
      </c>
      <c r="C419" s="1477"/>
      <c r="D419" s="1477"/>
      <c r="E419" s="1477"/>
      <c r="F419" s="1477"/>
      <c r="G419" s="1477"/>
    </row>
    <row r="420" spans="2:35" hidden="1"/>
    <row r="421" spans="2:35" hidden="1">
      <c r="B421" s="1477" t="s">
        <v>125</v>
      </c>
      <c r="C421" s="1477"/>
      <c r="D421" s="1477"/>
      <c r="E421" s="1477"/>
      <c r="F421" s="1477"/>
      <c r="G421" s="1477"/>
    </row>
    <row r="422" spans="2:35" hidden="1"/>
    <row r="423" spans="2:35" ht="12" thickBot="1">
      <c r="G423" s="335" t="s">
        <v>248</v>
      </c>
    </row>
    <row r="424" spans="2:35" ht="12" thickBot="1">
      <c r="B424" s="421" t="s">
        <v>127</v>
      </c>
      <c r="C424" s="274"/>
      <c r="D424" s="1463" t="s">
        <v>860</v>
      </c>
      <c r="E424" s="1464"/>
      <c r="F424" s="1463" t="s">
        <v>17</v>
      </c>
      <c r="G424" s="1464"/>
      <c r="H424" s="1463" t="s">
        <v>18</v>
      </c>
      <c r="I424" s="1464"/>
      <c r="J424" s="1463" t="s">
        <v>19</v>
      </c>
      <c r="K424" s="1464"/>
      <c r="L424" s="1463" t="s">
        <v>20</v>
      </c>
      <c r="M424" s="1464"/>
      <c r="N424" s="1463" t="s">
        <v>21</v>
      </c>
      <c r="O424" s="1464"/>
      <c r="P424" s="1463" t="s">
        <v>22</v>
      </c>
      <c r="Q424" s="1464"/>
      <c r="R424" s="1463" t="s">
        <v>23</v>
      </c>
      <c r="S424" s="1464"/>
      <c r="T424" s="1463" t="s">
        <v>24</v>
      </c>
      <c r="U424" s="1464"/>
      <c r="V424" s="1463" t="s">
        <v>25</v>
      </c>
      <c r="W424" s="1464"/>
      <c r="X424" s="1463" t="s">
        <v>26</v>
      </c>
      <c r="Y424" s="1464"/>
      <c r="Z424" s="1463" t="s">
        <v>27</v>
      </c>
      <c r="AA424" s="1464"/>
      <c r="AB424" s="1463" t="s">
        <v>28</v>
      </c>
      <c r="AC424" s="1464"/>
      <c r="AD424" s="1463" t="s">
        <v>29</v>
      </c>
      <c r="AE424" s="1464"/>
      <c r="AF424" s="1463" t="s">
        <v>30</v>
      </c>
      <c r="AG424" s="1464"/>
      <c r="AH424" s="1463" t="s">
        <v>31</v>
      </c>
      <c r="AI424" s="1464"/>
    </row>
    <row r="425" spans="2:35" ht="12" thickBot="1">
      <c r="B425" s="286"/>
      <c r="C425" s="250"/>
      <c r="D425" s="336" t="s">
        <v>128</v>
      </c>
      <c r="E425" s="790" t="s">
        <v>788</v>
      </c>
      <c r="F425" s="336" t="s">
        <v>128</v>
      </c>
      <c r="G425" s="790" t="s">
        <v>129</v>
      </c>
      <c r="H425" s="336" t="s">
        <v>128</v>
      </c>
      <c r="I425" s="790" t="s">
        <v>129</v>
      </c>
      <c r="J425" s="336" t="s">
        <v>128</v>
      </c>
      <c r="K425" s="790" t="s">
        <v>129</v>
      </c>
      <c r="L425" s="336" t="s">
        <v>128</v>
      </c>
      <c r="M425" s="790" t="s">
        <v>129</v>
      </c>
      <c r="N425" s="336" t="s">
        <v>128</v>
      </c>
      <c r="O425" s="790" t="s">
        <v>129</v>
      </c>
      <c r="P425" s="336" t="s">
        <v>128</v>
      </c>
      <c r="Q425" s="790" t="s">
        <v>129</v>
      </c>
      <c r="R425" s="336" t="s">
        <v>128</v>
      </c>
      <c r="S425" s="790" t="s">
        <v>129</v>
      </c>
      <c r="T425" s="336" t="s">
        <v>128</v>
      </c>
      <c r="U425" s="790" t="s">
        <v>129</v>
      </c>
      <c r="V425" s="323" t="s">
        <v>128</v>
      </c>
      <c r="W425" s="790" t="s">
        <v>129</v>
      </c>
      <c r="X425" s="336" t="s">
        <v>128</v>
      </c>
      <c r="Y425" s="790" t="s">
        <v>129</v>
      </c>
      <c r="Z425" s="336" t="s">
        <v>128</v>
      </c>
      <c r="AA425" s="790" t="s">
        <v>129</v>
      </c>
      <c r="AB425" s="336" t="s">
        <v>128</v>
      </c>
      <c r="AC425" s="790" t="s">
        <v>129</v>
      </c>
      <c r="AD425" s="336" t="s">
        <v>128</v>
      </c>
      <c r="AE425" s="790" t="s">
        <v>129</v>
      </c>
      <c r="AF425" s="336" t="s">
        <v>128</v>
      </c>
      <c r="AG425" s="790" t="s">
        <v>129</v>
      </c>
      <c r="AH425" s="336" t="s">
        <v>128</v>
      </c>
      <c r="AI425" s="790" t="s">
        <v>129</v>
      </c>
    </row>
    <row r="426" spans="2:35">
      <c r="B426" s="720" t="s">
        <v>130</v>
      </c>
      <c r="C426" s="243"/>
      <c r="D426" s="241">
        <f t="shared" ref="D426:E428" si="8">F426+H426+J426+L426+N426+P426+R426+T426+V426+X426+Z426+AB426+AD426+AF426+AH426</f>
        <v>0</v>
      </c>
      <c r="E426" s="489">
        <f t="shared" si="8"/>
        <v>0</v>
      </c>
      <c r="F426" s="240"/>
      <c r="G426" s="243"/>
      <c r="H426" s="240"/>
      <c r="I426" s="243"/>
      <c r="J426" s="240"/>
      <c r="K426" s="487"/>
      <c r="L426" s="240"/>
      <c r="M426" s="487"/>
      <c r="N426" s="240"/>
      <c r="O426" s="243"/>
      <c r="P426" s="240"/>
      <c r="Q426" s="243"/>
      <c r="R426" s="240"/>
      <c r="S426" s="243"/>
      <c r="T426" s="240"/>
      <c r="U426" s="243"/>
      <c r="V426" s="423"/>
      <c r="W426" s="487"/>
      <c r="X426" s="240"/>
      <c r="Y426" s="487"/>
      <c r="Z426" s="240"/>
      <c r="AA426" s="487"/>
      <c r="AB426" s="240"/>
      <c r="AC426" s="243"/>
      <c r="AD426" s="240"/>
      <c r="AE426" s="243"/>
      <c r="AF426" s="240"/>
      <c r="AG426" s="243"/>
      <c r="AH426" s="240"/>
      <c r="AI426" s="243"/>
    </row>
    <row r="427" spans="2:35">
      <c r="B427" s="720" t="s">
        <v>131</v>
      </c>
      <c r="C427" s="243"/>
      <c r="D427" s="237">
        <f t="shared" si="8"/>
        <v>0</v>
      </c>
      <c r="E427" s="237">
        <f t="shared" si="8"/>
        <v>0</v>
      </c>
      <c r="F427" s="241"/>
      <c r="G427" s="243"/>
      <c r="H427" s="241"/>
      <c r="I427" s="243"/>
      <c r="J427" s="241"/>
      <c r="K427" s="243"/>
      <c r="L427" s="241"/>
      <c r="M427" s="243"/>
      <c r="N427" s="241"/>
      <c r="O427" s="243"/>
      <c r="P427" s="241"/>
      <c r="Q427" s="243"/>
      <c r="R427" s="241"/>
      <c r="S427" s="243"/>
      <c r="T427" s="241"/>
      <c r="U427" s="243"/>
      <c r="V427" s="325"/>
      <c r="W427" s="243"/>
      <c r="X427" s="241"/>
      <c r="Y427" s="243"/>
      <c r="Z427" s="241"/>
      <c r="AA427" s="243"/>
      <c r="AB427" s="241"/>
      <c r="AC427" s="243"/>
      <c r="AD427" s="241"/>
      <c r="AE427" s="243"/>
      <c r="AF427" s="241"/>
      <c r="AG427" s="243"/>
      <c r="AH427" s="241"/>
      <c r="AI427" s="243"/>
    </row>
    <row r="428" spans="2:35">
      <c r="B428" s="720" t="s">
        <v>132</v>
      </c>
      <c r="C428" s="243"/>
      <c r="D428" s="237">
        <f t="shared" si="8"/>
        <v>0</v>
      </c>
      <c r="E428" s="237">
        <f t="shared" si="8"/>
        <v>0</v>
      </c>
      <c r="F428" s="241"/>
      <c r="G428" s="243"/>
      <c r="H428" s="241"/>
      <c r="I428" s="243"/>
      <c r="J428" s="241"/>
      <c r="K428" s="243"/>
      <c r="L428" s="241"/>
      <c r="M428" s="243"/>
      <c r="N428" s="241"/>
      <c r="O428" s="243"/>
      <c r="P428" s="241"/>
      <c r="Q428" s="243"/>
      <c r="R428" s="241"/>
      <c r="S428" s="243"/>
      <c r="T428" s="241"/>
      <c r="U428" s="243"/>
      <c r="V428" s="325"/>
      <c r="W428" s="243"/>
      <c r="X428" s="241"/>
      <c r="Y428" s="487"/>
      <c r="Z428" s="241"/>
      <c r="AA428" s="243"/>
      <c r="AB428" s="241"/>
      <c r="AC428" s="243"/>
      <c r="AD428" s="241"/>
      <c r="AE428" s="243"/>
      <c r="AF428" s="241"/>
      <c r="AG428" s="243"/>
      <c r="AH428" s="241"/>
      <c r="AI428" s="243"/>
    </row>
    <row r="429" spans="2:35" ht="12" thickBot="1">
      <c r="B429" s="245"/>
      <c r="C429" s="247"/>
      <c r="D429" s="286"/>
      <c r="E429" s="247"/>
      <c r="F429" s="286"/>
      <c r="G429" s="247"/>
      <c r="H429" s="286"/>
      <c r="I429" s="247"/>
      <c r="J429" s="286"/>
      <c r="K429" s="247"/>
      <c r="L429" s="286"/>
      <c r="M429" s="247"/>
      <c r="N429" s="286"/>
      <c r="O429" s="247"/>
      <c r="P429" s="286"/>
      <c r="Q429" s="247"/>
      <c r="R429" s="286"/>
      <c r="S429" s="247"/>
      <c r="T429" s="286"/>
      <c r="U429" s="247"/>
      <c r="V429" s="424"/>
      <c r="W429" s="247"/>
      <c r="X429" s="286"/>
      <c r="Y429" s="247"/>
      <c r="Z429" s="286"/>
      <c r="AA429" s="247"/>
      <c r="AB429" s="286"/>
      <c r="AC429" s="247"/>
      <c r="AD429" s="286"/>
      <c r="AE429" s="247"/>
      <c r="AF429" s="286"/>
      <c r="AG429" s="247"/>
      <c r="AH429" s="286"/>
      <c r="AI429" s="247"/>
    </row>
    <row r="431" spans="2:35">
      <c r="B431" s="318" t="s">
        <v>133</v>
      </c>
    </row>
    <row r="432" spans="2:35" ht="12" thickBot="1">
      <c r="G432" s="335" t="s">
        <v>247</v>
      </c>
    </row>
    <row r="433" spans="2:35" ht="12" thickBot="1">
      <c r="B433" s="425"/>
      <c r="C433" s="274"/>
      <c r="D433" s="1463" t="s">
        <v>860</v>
      </c>
      <c r="E433" s="1464"/>
      <c r="F433" s="1463" t="s">
        <v>17</v>
      </c>
      <c r="G433" s="1464"/>
      <c r="H433" s="1463" t="s">
        <v>18</v>
      </c>
      <c r="I433" s="1464"/>
      <c r="J433" s="1463" t="s">
        <v>19</v>
      </c>
      <c r="K433" s="1464"/>
      <c r="L433" s="1463" t="s">
        <v>20</v>
      </c>
      <c r="M433" s="1464"/>
      <c r="N433" s="1463" t="s">
        <v>21</v>
      </c>
      <c r="O433" s="1464"/>
      <c r="P433" s="1463" t="s">
        <v>22</v>
      </c>
      <c r="Q433" s="1464"/>
      <c r="R433" s="1463" t="s">
        <v>23</v>
      </c>
      <c r="S433" s="1464"/>
      <c r="T433" s="1463" t="s">
        <v>24</v>
      </c>
      <c r="U433" s="1464"/>
      <c r="V433" s="1463" t="s">
        <v>25</v>
      </c>
      <c r="W433" s="1464"/>
      <c r="X433" s="1463" t="s">
        <v>26</v>
      </c>
      <c r="Y433" s="1464"/>
      <c r="Z433" s="1463" t="s">
        <v>27</v>
      </c>
      <c r="AA433" s="1464"/>
      <c r="AB433" s="1463" t="s">
        <v>28</v>
      </c>
      <c r="AC433" s="1464"/>
      <c r="AD433" s="1463" t="s">
        <v>29</v>
      </c>
      <c r="AE433" s="1464"/>
      <c r="AF433" s="1463" t="s">
        <v>30</v>
      </c>
      <c r="AG433" s="1464"/>
      <c r="AH433" s="1463" t="s">
        <v>31</v>
      </c>
      <c r="AI433" s="1464"/>
    </row>
    <row r="434" spans="2:35" ht="14.25">
      <c r="B434" s="426"/>
      <c r="C434" s="251"/>
      <c r="D434" s="249"/>
      <c r="E434" s="250"/>
      <c r="F434" s="251"/>
      <c r="G434" s="250"/>
      <c r="H434" s="251"/>
      <c r="I434" s="250"/>
      <c r="J434" s="251"/>
      <c r="K434" s="250"/>
      <c r="L434" s="251"/>
      <c r="M434" s="250"/>
      <c r="N434" s="251"/>
      <c r="O434" s="250"/>
      <c r="P434" s="251"/>
      <c r="Q434" s="250"/>
      <c r="R434" s="251"/>
      <c r="S434" s="250"/>
      <c r="T434" s="251"/>
      <c r="U434" s="250"/>
      <c r="V434" s="427"/>
      <c r="W434" s="250"/>
      <c r="X434" s="251"/>
      <c r="Y434" s="250"/>
      <c r="Z434" s="251"/>
      <c r="AA434" s="250"/>
      <c r="AB434" s="251"/>
      <c r="AC434" s="250"/>
      <c r="AD434" s="251"/>
      <c r="AE434" s="250"/>
      <c r="AF434" s="251"/>
      <c r="AG434" s="250"/>
      <c r="AH434" s="251"/>
      <c r="AI434" s="250"/>
    </row>
    <row r="435" spans="2:35" ht="30.75" customHeight="1">
      <c r="B435" s="1483" t="s">
        <v>136</v>
      </c>
      <c r="C435" s="244"/>
      <c r="D435" s="237"/>
      <c r="E435" s="243"/>
      <c r="F435" s="244"/>
      <c r="G435" s="243"/>
      <c r="H435" s="244"/>
      <c r="I435" s="243"/>
      <c r="J435" s="244"/>
      <c r="K435" s="243"/>
      <c r="L435" s="244"/>
      <c r="M435" s="243"/>
      <c r="N435" s="244"/>
      <c r="O435" s="243"/>
      <c r="P435" s="244"/>
      <c r="Q435" s="243"/>
      <c r="R435" s="244"/>
      <c r="S435" s="243"/>
      <c r="T435" s="244"/>
      <c r="U435" s="243"/>
      <c r="V435" s="341"/>
      <c r="W435" s="243"/>
      <c r="X435" s="244"/>
      <c r="Y435" s="243"/>
      <c r="Z435" s="244"/>
      <c r="AA435" s="243"/>
      <c r="AB435" s="244"/>
      <c r="AC435" s="243"/>
      <c r="AD435" s="244"/>
      <c r="AE435" s="243"/>
      <c r="AF435" s="244"/>
      <c r="AG435" s="243"/>
      <c r="AH435" s="244"/>
      <c r="AI435" s="243"/>
    </row>
    <row r="436" spans="2:35" ht="15.75" hidden="1" customHeight="1">
      <c r="B436" s="1483"/>
      <c r="C436" s="244"/>
      <c r="D436" s="237"/>
      <c r="E436" s="243"/>
      <c r="F436" s="244"/>
      <c r="G436" s="243"/>
      <c r="H436" s="244"/>
      <c r="I436" s="243"/>
      <c r="J436" s="244"/>
      <c r="K436" s="243"/>
      <c r="L436" s="244"/>
      <c r="M436" s="243"/>
      <c r="N436" s="244"/>
      <c r="O436" s="243"/>
      <c r="P436" s="244"/>
      <c r="Q436" s="243"/>
      <c r="R436" s="244"/>
      <c r="S436" s="243"/>
      <c r="T436" s="244"/>
      <c r="U436" s="243"/>
      <c r="V436" s="341"/>
      <c r="W436" s="243"/>
      <c r="X436" s="244"/>
      <c r="Y436" s="243"/>
      <c r="Z436" s="244"/>
      <c r="AA436" s="243"/>
      <c r="AB436" s="244"/>
      <c r="AC436" s="243"/>
      <c r="AD436" s="244"/>
      <c r="AE436" s="243"/>
      <c r="AF436" s="244"/>
      <c r="AG436" s="243"/>
      <c r="AH436" s="244"/>
      <c r="AI436" s="243"/>
    </row>
    <row r="437" spans="2:35">
      <c r="B437" s="377" t="s">
        <v>195</v>
      </c>
      <c r="C437" s="244"/>
      <c r="D437" s="237">
        <f>F437+H437+J437+L437+N437+P437+R437+T437+V437+X437+Z437+AB437+AD437+AF437+AH437</f>
        <v>3969649745</v>
      </c>
      <c r="E437" s="243"/>
      <c r="F437" s="244"/>
      <c r="G437" s="243"/>
      <c r="H437" s="244">
        <v>134798</v>
      </c>
      <c r="I437" s="243"/>
      <c r="J437" s="244"/>
      <c r="K437" s="243"/>
      <c r="L437" s="244"/>
      <c r="M437" s="243"/>
      <c r="N437" s="244"/>
      <c r="O437" s="243"/>
      <c r="P437" s="244">
        <v>3244441956</v>
      </c>
      <c r="Q437" s="243"/>
      <c r="R437" s="244"/>
      <c r="S437" s="243"/>
      <c r="T437" s="244"/>
      <c r="U437" s="243"/>
      <c r="V437" s="341">
        <f>2073208+1</f>
        <v>2073209</v>
      </c>
      <c r="W437" s="243"/>
      <c r="X437" s="244"/>
      <c r="Y437" s="243"/>
      <c r="Z437" s="244"/>
      <c r="AA437" s="243"/>
      <c r="AB437" s="244"/>
      <c r="AC437" s="243"/>
      <c r="AD437" s="244"/>
      <c r="AE437" s="243"/>
      <c r="AF437" s="244">
        <v>722999782</v>
      </c>
      <c r="AG437" s="243"/>
      <c r="AH437" s="244"/>
      <c r="AI437" s="243"/>
    </row>
    <row r="438" spans="2:35">
      <c r="B438" s="377" t="s">
        <v>978</v>
      </c>
      <c r="C438" s="244"/>
      <c r="D438" s="237">
        <f>F438+H438+J438+L438+N438+P438+R438+T438+V438+X438+Z438+AB438+AD438+AF438+AH438</f>
        <v>984604853</v>
      </c>
      <c r="E438" s="243"/>
      <c r="F438" s="244">
        <v>6105350</v>
      </c>
      <c r="G438" s="243"/>
      <c r="H438" s="244"/>
      <c r="I438" s="243"/>
      <c r="J438" s="244">
        <f>153239580+1</f>
        <v>153239581</v>
      </c>
      <c r="K438" s="243"/>
      <c r="L438" s="244"/>
      <c r="M438" s="243"/>
      <c r="N438" s="244"/>
      <c r="O438" s="243"/>
      <c r="P438" s="244">
        <v>4063857</v>
      </c>
      <c r="Q438" s="243"/>
      <c r="R438" s="244">
        <v>32503</v>
      </c>
      <c r="S438" s="243"/>
      <c r="T438" s="244">
        <v>473020865</v>
      </c>
      <c r="U438" s="243"/>
      <c r="V438" s="341">
        <v>22722110</v>
      </c>
      <c r="W438" s="243"/>
      <c r="X438" s="244"/>
      <c r="Y438" s="243"/>
      <c r="Z438" s="244">
        <v>304475753</v>
      </c>
      <c r="AA438" s="243"/>
      <c r="AB438" s="244">
        <v>30993</v>
      </c>
      <c r="AC438" s="243"/>
      <c r="AD438" s="244"/>
      <c r="AE438" s="243"/>
      <c r="AF438" s="244">
        <v>20913841</v>
      </c>
      <c r="AG438" s="243"/>
      <c r="AH438" s="244"/>
      <c r="AI438" s="243"/>
    </row>
    <row r="439" spans="2:35" ht="12" thickBot="1">
      <c r="B439" s="377" t="s">
        <v>977</v>
      </c>
      <c r="C439" s="244"/>
      <c r="D439" s="245">
        <f>F439+H439+J439+L439+N439+P439+R439+T439+V439+X439+Z439+AB439+AD439+AF439+AH439</f>
        <v>152076694</v>
      </c>
      <c r="E439" s="243"/>
      <c r="F439" s="245"/>
      <c r="G439" s="243"/>
      <c r="H439" s="245"/>
      <c r="I439" s="243"/>
      <c r="J439" s="245"/>
      <c r="K439" s="243"/>
      <c r="L439" s="245"/>
      <c r="M439" s="243"/>
      <c r="N439" s="245"/>
      <c r="O439" s="243"/>
      <c r="P439" s="245"/>
      <c r="Q439" s="243"/>
      <c r="R439" s="245">
        <v>17366608</v>
      </c>
      <c r="S439" s="243"/>
      <c r="T439" s="245">
        <v>102730474</v>
      </c>
      <c r="U439" s="243"/>
      <c r="V439" s="344"/>
      <c r="W439" s="243"/>
      <c r="X439" s="245">
        <v>31979612</v>
      </c>
      <c r="Y439" s="243"/>
      <c r="Z439" s="245"/>
      <c r="AA439" s="243"/>
      <c r="AB439" s="245"/>
      <c r="AC439" s="243"/>
      <c r="AD439" s="245"/>
      <c r="AE439" s="243"/>
      <c r="AF439" s="245"/>
      <c r="AG439" s="243"/>
      <c r="AH439" s="245"/>
      <c r="AI439" s="243"/>
    </row>
    <row r="440" spans="2:35">
      <c r="B440" s="327"/>
      <c r="C440" s="244"/>
      <c r="D440" s="237">
        <f>+SUM(D436:D439)</f>
        <v>5106331292</v>
      </c>
      <c r="E440" s="243"/>
      <c r="F440" s="237">
        <f>+SUM(F436:F439)</f>
        <v>6105350</v>
      </c>
      <c r="G440" s="243"/>
      <c r="H440" s="237">
        <f>+SUM(H436:H439)</f>
        <v>134798</v>
      </c>
      <c r="I440" s="243"/>
      <c r="J440" s="237">
        <f>+SUM(J436:J439)</f>
        <v>153239581</v>
      </c>
      <c r="K440" s="243"/>
      <c r="L440" s="237">
        <f>+SUM(L436:L439)</f>
        <v>0</v>
      </c>
      <c r="M440" s="243"/>
      <c r="N440" s="237">
        <f>+SUM(N436:N439)</f>
        <v>0</v>
      </c>
      <c r="O440" s="243"/>
      <c r="P440" s="237">
        <f>+SUM(P436:P439)</f>
        <v>3248505813</v>
      </c>
      <c r="Q440" s="243"/>
      <c r="R440" s="237">
        <f>+SUM(R436:R439)</f>
        <v>17399111</v>
      </c>
      <c r="S440" s="243"/>
      <c r="T440" s="237">
        <f>+SUM(T436:T439)</f>
        <v>575751339</v>
      </c>
      <c r="U440" s="243"/>
      <c r="V440" s="237">
        <f>+SUM(V436:V439)</f>
        <v>24795319</v>
      </c>
      <c r="W440" s="243"/>
      <c r="X440" s="237">
        <f>+SUM(X436:X439)</f>
        <v>31979612</v>
      </c>
      <c r="Y440" s="243"/>
      <c r="Z440" s="237">
        <f>+SUM(Z436:Z439)</f>
        <v>304475753</v>
      </c>
      <c r="AA440" s="243"/>
      <c r="AB440" s="237">
        <f>+SUM(AB436:AB439)</f>
        <v>30993</v>
      </c>
      <c r="AC440" s="243"/>
      <c r="AD440" s="237">
        <f>+SUM(AD436:AD439)</f>
        <v>0</v>
      </c>
      <c r="AE440" s="243"/>
      <c r="AF440" s="237">
        <f>+SUM(AF436:AF439)</f>
        <v>743913623</v>
      </c>
      <c r="AG440" s="243"/>
      <c r="AH440" s="237">
        <f>+SUM(AH436:AH439)</f>
        <v>0</v>
      </c>
      <c r="AI440" s="243"/>
    </row>
    <row r="441" spans="2:35" ht="12" thickBot="1">
      <c r="B441" s="327" t="s">
        <v>134</v>
      </c>
      <c r="C441" s="244"/>
      <c r="D441" s="245">
        <f>F441+H441+J441+L441+N441+P441+R441+T441+V441+X441+Z441+AB441+AD441+AF441+AH441</f>
        <v>152076694</v>
      </c>
      <c r="E441" s="243">
        <f>+D440-D441</f>
        <v>4954254598</v>
      </c>
      <c r="F441" s="245"/>
      <c r="G441" s="243">
        <f>+F440-F441</f>
        <v>6105350</v>
      </c>
      <c r="H441" s="245"/>
      <c r="I441" s="243">
        <f>+H440-H441</f>
        <v>134798</v>
      </c>
      <c r="J441" s="245">
        <f>J439</f>
        <v>0</v>
      </c>
      <c r="K441" s="243">
        <f>+J440-J441</f>
        <v>153239581</v>
      </c>
      <c r="L441" s="245"/>
      <c r="M441" s="243">
        <f>+L440-L441</f>
        <v>0</v>
      </c>
      <c r="N441" s="245"/>
      <c r="O441" s="243">
        <f>+N440-N441</f>
        <v>0</v>
      </c>
      <c r="P441" s="245">
        <f>P439</f>
        <v>0</v>
      </c>
      <c r="Q441" s="243">
        <f>+P440-P441</f>
        <v>3248505813</v>
      </c>
      <c r="R441" s="245">
        <f>R439</f>
        <v>17366608</v>
      </c>
      <c r="S441" s="243">
        <f>+R440-R441</f>
        <v>32503</v>
      </c>
      <c r="T441" s="245">
        <f>T439</f>
        <v>102730474</v>
      </c>
      <c r="U441" s="243">
        <f>+T440-T441</f>
        <v>473020865</v>
      </c>
      <c r="V441" s="344"/>
      <c r="W441" s="243">
        <f>+V440-V441</f>
        <v>24795319</v>
      </c>
      <c r="X441" s="245">
        <f>X439</f>
        <v>31979612</v>
      </c>
      <c r="Y441" s="243">
        <f>+X440-X441</f>
        <v>0</v>
      </c>
      <c r="Z441" s="245">
        <f>Z439</f>
        <v>0</v>
      </c>
      <c r="AA441" s="243">
        <f>+Z440-Z441</f>
        <v>304475753</v>
      </c>
      <c r="AB441" s="245"/>
      <c r="AC441" s="243">
        <f>+AB440-AB441</f>
        <v>30993</v>
      </c>
      <c r="AD441" s="245"/>
      <c r="AE441" s="243">
        <f>+AD440-AD441</f>
        <v>0</v>
      </c>
      <c r="AF441" s="245">
        <f>AF439</f>
        <v>0</v>
      </c>
      <c r="AG441" s="243">
        <f>+AF440-AF441</f>
        <v>743913623</v>
      </c>
      <c r="AH441" s="245"/>
      <c r="AI441" s="243">
        <f>+AH440-AH441</f>
        <v>0</v>
      </c>
    </row>
    <row r="442" spans="2:35">
      <c r="B442" s="327"/>
      <c r="C442" s="244"/>
      <c r="D442" s="237"/>
      <c r="E442" s="243"/>
      <c r="F442" s="237"/>
      <c r="G442" s="243"/>
      <c r="H442" s="237"/>
      <c r="I442" s="243"/>
      <c r="J442" s="237"/>
      <c r="K442" s="243"/>
      <c r="L442" s="237"/>
      <c r="M442" s="243"/>
      <c r="N442" s="237"/>
      <c r="O442" s="243"/>
      <c r="P442" s="237"/>
      <c r="Q442" s="243"/>
      <c r="R442" s="237"/>
      <c r="S442" s="243"/>
      <c r="T442" s="237"/>
      <c r="U442" s="243"/>
      <c r="V442" s="348"/>
      <c r="W442" s="243"/>
      <c r="X442" s="237"/>
      <c r="Y442" s="243"/>
      <c r="Z442" s="237"/>
      <c r="AA442" s="243"/>
      <c r="AB442" s="237"/>
      <c r="AC442" s="243"/>
      <c r="AD442" s="237"/>
      <c r="AE442" s="243"/>
      <c r="AF442" s="237"/>
      <c r="AG442" s="243"/>
      <c r="AH442" s="237"/>
      <c r="AI442" s="243"/>
    </row>
    <row r="443" spans="2:35">
      <c r="B443" s="791" t="s">
        <v>137</v>
      </c>
      <c r="C443" s="244"/>
      <c r="D443" s="237"/>
      <c r="E443" s="243"/>
      <c r="F443" s="237"/>
      <c r="G443" s="243"/>
      <c r="H443" s="237"/>
      <c r="I443" s="243"/>
      <c r="J443" s="237"/>
      <c r="K443" s="243"/>
      <c r="L443" s="237"/>
      <c r="M443" s="243"/>
      <c r="N443" s="237"/>
      <c r="O443" s="243"/>
      <c r="P443" s="237"/>
      <c r="Q443" s="243"/>
      <c r="R443" s="237"/>
      <c r="S443" s="243"/>
      <c r="T443" s="237"/>
      <c r="U443" s="243"/>
      <c r="V443" s="348"/>
      <c r="W443" s="243"/>
      <c r="X443" s="237"/>
      <c r="Y443" s="243"/>
      <c r="Z443" s="237"/>
      <c r="AA443" s="243"/>
      <c r="AB443" s="237"/>
      <c r="AC443" s="243"/>
      <c r="AD443" s="237"/>
      <c r="AE443" s="243"/>
      <c r="AF443" s="237"/>
      <c r="AG443" s="243"/>
      <c r="AH443" s="237"/>
      <c r="AI443" s="243"/>
    </row>
    <row r="444" spans="2:35">
      <c r="B444" s="377" t="s">
        <v>195</v>
      </c>
      <c r="C444" s="244"/>
      <c r="D444" s="237">
        <f>F444+H444+J444+L444+N444+P444+R444+T444+V444+X444+Z444+AB444+AD444+AF444+AH444</f>
        <v>12674135839</v>
      </c>
      <c r="E444" s="243"/>
      <c r="F444" s="237"/>
      <c r="G444" s="243"/>
      <c r="H444" s="237"/>
      <c r="I444" s="243"/>
      <c r="J444" s="237"/>
      <c r="K444" s="243"/>
      <c r="L444" s="237"/>
      <c r="M444" s="243"/>
      <c r="N444" s="237"/>
      <c r="O444" s="243"/>
      <c r="P444" s="237">
        <v>749315500</v>
      </c>
      <c r="Q444" s="243"/>
      <c r="R444" s="237"/>
      <c r="S444" s="243"/>
      <c r="T444" s="237">
        <v>7644768086</v>
      </c>
      <c r="U444" s="243"/>
      <c r="V444" s="348"/>
      <c r="W444" s="243"/>
      <c r="X444" s="237"/>
      <c r="Y444" s="243"/>
      <c r="Z444" s="237">
        <v>3193224130</v>
      </c>
      <c r="AA444" s="243"/>
      <c r="AB444" s="237"/>
      <c r="AC444" s="243"/>
      <c r="AD444" s="237">
        <v>125279880</v>
      </c>
      <c r="AE444" s="243"/>
      <c r="AF444" s="237">
        <v>961548243</v>
      </c>
      <c r="AG444" s="243"/>
      <c r="AH444" s="237"/>
      <c r="AI444" s="243"/>
    </row>
    <row r="445" spans="2:35">
      <c r="B445" s="377" t="s">
        <v>978</v>
      </c>
      <c r="C445" s="244"/>
      <c r="D445" s="237">
        <f>F445+H445+J445+L445+N445+P445+R445+T445+V445+X445+Z445+AB445+AD445+AF445+AH445</f>
        <v>4612556795</v>
      </c>
      <c r="E445" s="243"/>
      <c r="F445" s="237">
        <v>9430468</v>
      </c>
      <c r="G445" s="243"/>
      <c r="H445" s="237">
        <v>5352266</v>
      </c>
      <c r="I445" s="243"/>
      <c r="J445" s="237">
        <v>934720750</v>
      </c>
      <c r="K445" s="243"/>
      <c r="L445" s="237">
        <v>2983830542</v>
      </c>
      <c r="M445" s="243"/>
      <c r="N445" s="237"/>
      <c r="O445" s="243"/>
      <c r="P445" s="237">
        <v>2962794</v>
      </c>
      <c r="Q445" s="243"/>
      <c r="R445" s="237"/>
      <c r="S445" s="243"/>
      <c r="T445" s="237"/>
      <c r="U445" s="243"/>
      <c r="V445" s="348">
        <v>636375975</v>
      </c>
      <c r="W445" s="243"/>
      <c r="X445" s="237"/>
      <c r="Y445" s="243"/>
      <c r="Z445" s="237"/>
      <c r="AA445" s="243"/>
      <c r="AB445" s="237"/>
      <c r="AC445" s="243"/>
      <c r="AD445" s="237">
        <v>34565493</v>
      </c>
      <c r="AE445" s="243"/>
      <c r="AF445" s="237">
        <v>5318507</v>
      </c>
      <c r="AG445" s="243"/>
      <c r="AH445" s="237"/>
      <c r="AI445" s="243"/>
    </row>
    <row r="446" spans="2:35" ht="12" thickBot="1">
      <c r="B446" s="377" t="s">
        <v>977</v>
      </c>
      <c r="C446" s="244"/>
      <c r="D446" s="245">
        <f>F446+H446+J446+L446+N446+P446+R446+T446+V446+X446+Z446+AB446+AD446+AF446+AH446</f>
        <v>17096391</v>
      </c>
      <c r="E446" s="243"/>
      <c r="F446" s="245"/>
      <c r="G446" s="243"/>
      <c r="H446" s="245">
        <v>16858476</v>
      </c>
      <c r="I446" s="243"/>
      <c r="J446" s="245"/>
      <c r="K446" s="243"/>
      <c r="L446" s="245"/>
      <c r="M446" s="243"/>
      <c r="N446" s="245"/>
      <c r="O446" s="243"/>
      <c r="P446" s="245"/>
      <c r="Q446" s="243"/>
      <c r="R446" s="245"/>
      <c r="S446" s="243"/>
      <c r="T446" s="245"/>
      <c r="U446" s="243"/>
      <c r="V446" s="344"/>
      <c r="W446" s="243"/>
      <c r="X446" s="245"/>
      <c r="Y446" s="243"/>
      <c r="Z446" s="245"/>
      <c r="AA446" s="243"/>
      <c r="AB446" s="245"/>
      <c r="AC446" s="243"/>
      <c r="AD446" s="245"/>
      <c r="AE446" s="243"/>
      <c r="AF446" s="245">
        <v>237915</v>
      </c>
      <c r="AG446" s="243"/>
      <c r="AH446" s="245"/>
      <c r="AI446" s="243"/>
    </row>
    <row r="447" spans="2:35">
      <c r="B447" s="327"/>
      <c r="C447" s="244"/>
      <c r="D447" s="237">
        <f>+SUM(D443:D446)</f>
        <v>17303789025</v>
      </c>
      <c r="E447" s="243"/>
      <c r="F447" s="237">
        <f>+SUM(F443:F446)</f>
        <v>9430468</v>
      </c>
      <c r="G447" s="243"/>
      <c r="H447" s="237">
        <f>+SUM(H443:H446)</f>
        <v>22210742</v>
      </c>
      <c r="I447" s="243"/>
      <c r="J447" s="237">
        <f>+SUM(J443:J446)</f>
        <v>934720750</v>
      </c>
      <c r="K447" s="243"/>
      <c r="L447" s="237">
        <f>+SUM(L443:L446)</f>
        <v>2983830542</v>
      </c>
      <c r="M447" s="243"/>
      <c r="N447" s="237">
        <f>+SUM(N443:N446)</f>
        <v>0</v>
      </c>
      <c r="O447" s="243"/>
      <c r="P447" s="237">
        <f>+SUM(P443:P446)</f>
        <v>752278294</v>
      </c>
      <c r="Q447" s="243"/>
      <c r="R447" s="237">
        <f>+SUM(R443:R446)</f>
        <v>0</v>
      </c>
      <c r="S447" s="243"/>
      <c r="T447" s="237">
        <f>+SUM(T443:T446)</f>
        <v>7644768086</v>
      </c>
      <c r="U447" s="243"/>
      <c r="V447" s="237">
        <f>+SUM(V443:V446)</f>
        <v>636375975</v>
      </c>
      <c r="W447" s="243"/>
      <c r="X447" s="237">
        <f>+SUM(X443:X446)</f>
        <v>0</v>
      </c>
      <c r="Y447" s="243"/>
      <c r="Z447" s="237">
        <f>+SUM(Z443:Z446)</f>
        <v>3193224130</v>
      </c>
      <c r="AA447" s="243"/>
      <c r="AB447" s="237">
        <f>+SUM(AB443:AB446)</f>
        <v>0</v>
      </c>
      <c r="AC447" s="243"/>
      <c r="AD447" s="237">
        <f>+SUM(AD443:AD446)</f>
        <v>159845373</v>
      </c>
      <c r="AE447" s="243"/>
      <c r="AF447" s="237">
        <f>+SUM(AF443:AF446)</f>
        <v>967104665</v>
      </c>
      <c r="AG447" s="243"/>
      <c r="AH447" s="237">
        <f>+SUM(AH443:AH446)</f>
        <v>0</v>
      </c>
      <c r="AI447" s="243"/>
    </row>
    <row r="448" spans="2:35" ht="12" thickBot="1">
      <c r="B448" s="327" t="s">
        <v>135</v>
      </c>
      <c r="C448" s="244"/>
      <c r="D448" s="245">
        <f>F448+H448+J448+L448+N448+P448+R448+T448+V448+X448+Z448+AB448+AD448+AF448+AH448</f>
        <v>17096391</v>
      </c>
      <c r="E448" s="243">
        <f>+D447-D448</f>
        <v>17286692634</v>
      </c>
      <c r="F448" s="245">
        <f>F446</f>
        <v>0</v>
      </c>
      <c r="G448" s="243">
        <f>+F447-F448</f>
        <v>9430468</v>
      </c>
      <c r="H448" s="245">
        <f>H446</f>
        <v>16858476</v>
      </c>
      <c r="I448" s="243">
        <f>+H447-H448</f>
        <v>5352266</v>
      </c>
      <c r="J448" s="245"/>
      <c r="K448" s="243">
        <f>+J447-J448</f>
        <v>934720750</v>
      </c>
      <c r="L448" s="245">
        <f>L446</f>
        <v>0</v>
      </c>
      <c r="M448" s="243">
        <f>+L447-L448</f>
        <v>2983830542</v>
      </c>
      <c r="N448" s="245"/>
      <c r="O448" s="243">
        <f>+N447-N448</f>
        <v>0</v>
      </c>
      <c r="P448" s="245"/>
      <c r="Q448" s="243">
        <f>+P447-P448</f>
        <v>752278294</v>
      </c>
      <c r="R448" s="245"/>
      <c r="S448" s="243">
        <f>+R447-R448</f>
        <v>0</v>
      </c>
      <c r="T448" s="245"/>
      <c r="U448" s="243">
        <f>+T447-T448</f>
        <v>7644768086</v>
      </c>
      <c r="V448" s="344"/>
      <c r="W448" s="243">
        <f>+V447-V448</f>
        <v>636375975</v>
      </c>
      <c r="X448" s="245"/>
      <c r="Y448" s="243">
        <f>+X447-X448</f>
        <v>0</v>
      </c>
      <c r="Z448" s="245"/>
      <c r="AA448" s="243">
        <f>+Z447-Z448</f>
        <v>3193224130</v>
      </c>
      <c r="AB448" s="245"/>
      <c r="AC448" s="243">
        <f>+AB447-AB448</f>
        <v>0</v>
      </c>
      <c r="AD448" s="245"/>
      <c r="AE448" s="243">
        <f>+AD447-AD448</f>
        <v>159845373</v>
      </c>
      <c r="AF448" s="245">
        <f>AF446</f>
        <v>237915</v>
      </c>
      <c r="AG448" s="243">
        <f>+AF447-AF448</f>
        <v>966866750</v>
      </c>
      <c r="AH448" s="245"/>
      <c r="AI448" s="243">
        <f>+AH447-AH448</f>
        <v>0</v>
      </c>
    </row>
    <row r="449" spans="2:35">
      <c r="B449" s="327"/>
      <c r="C449" s="244"/>
      <c r="D449" s="237"/>
      <c r="E449" s="243"/>
      <c r="F449" s="237"/>
      <c r="G449" s="243"/>
      <c r="H449" s="237"/>
      <c r="I449" s="243"/>
      <c r="J449" s="237"/>
      <c r="K449" s="243"/>
      <c r="L449" s="237"/>
      <c r="M449" s="243"/>
      <c r="N449" s="237"/>
      <c r="O449" s="243"/>
      <c r="P449" s="237"/>
      <c r="Q449" s="243"/>
      <c r="R449" s="237"/>
      <c r="S449" s="243"/>
      <c r="T449" s="237"/>
      <c r="U449" s="243"/>
      <c r="V449" s="348"/>
      <c r="W449" s="243"/>
      <c r="X449" s="237"/>
      <c r="Y449" s="243"/>
      <c r="Z449" s="237"/>
      <c r="AA449" s="243"/>
      <c r="AB449" s="237"/>
      <c r="AC449" s="243"/>
      <c r="AD449" s="237"/>
      <c r="AE449" s="243"/>
      <c r="AF449" s="237"/>
      <c r="AG449" s="243"/>
      <c r="AH449" s="237"/>
      <c r="AI449" s="243"/>
    </row>
    <row r="450" spans="2:35" ht="12" thickBot="1">
      <c r="B450" s="784" t="s">
        <v>806</v>
      </c>
      <c r="C450" s="244"/>
      <c r="D450" s="237"/>
      <c r="E450" s="246">
        <f>SUM(E434:E449)</f>
        <v>22240947232</v>
      </c>
      <c r="F450" s="237"/>
      <c r="G450" s="246">
        <f>SUM(G434:G449)</f>
        <v>15535818</v>
      </c>
      <c r="H450" s="237"/>
      <c r="I450" s="246">
        <f>SUM(I434:I449)</f>
        <v>5487064</v>
      </c>
      <c r="J450" s="237"/>
      <c r="K450" s="246">
        <f>SUM(K434:K449)</f>
        <v>1087960331</v>
      </c>
      <c r="L450" s="237"/>
      <c r="M450" s="246">
        <f>SUM(M434:M449)</f>
        <v>2983830542</v>
      </c>
      <c r="N450" s="237"/>
      <c r="O450" s="246">
        <f>SUM(O434:O449)</f>
        <v>0</v>
      </c>
      <c r="P450" s="237"/>
      <c r="Q450" s="246">
        <f>SUM(Q434:Q449)</f>
        <v>4000784107</v>
      </c>
      <c r="R450" s="237"/>
      <c r="S450" s="246">
        <f>SUM(S434:S449)</f>
        <v>32503</v>
      </c>
      <c r="T450" s="237"/>
      <c r="U450" s="246">
        <f>SUM(U434:U449)</f>
        <v>8117788951</v>
      </c>
      <c r="V450" s="348"/>
      <c r="W450" s="246">
        <f>SUM(W434:W449)</f>
        <v>661171294</v>
      </c>
      <c r="X450" s="237"/>
      <c r="Y450" s="246">
        <f>SUM(Y434:Y449)</f>
        <v>0</v>
      </c>
      <c r="Z450" s="237"/>
      <c r="AA450" s="246">
        <f>SUM(AA434:AA449)</f>
        <v>3497699883</v>
      </c>
      <c r="AB450" s="237"/>
      <c r="AC450" s="246">
        <f>SUM(AC434:AC449)</f>
        <v>30993</v>
      </c>
      <c r="AD450" s="237"/>
      <c r="AE450" s="246">
        <f>SUM(AE434:AE449)</f>
        <v>159845373</v>
      </c>
      <c r="AF450" s="237"/>
      <c r="AG450" s="246">
        <f>SUM(AG434:AG449)</f>
        <v>1710780373</v>
      </c>
      <c r="AH450" s="237"/>
      <c r="AI450" s="246">
        <f>SUM(AI434:AI449)</f>
        <v>0</v>
      </c>
    </row>
    <row r="451" spans="2:35" ht="12.75" thickTop="1" thickBot="1">
      <c r="B451" s="245"/>
      <c r="C451" s="248"/>
      <c r="D451" s="245"/>
      <c r="E451" s="247"/>
      <c r="F451" s="248"/>
      <c r="G451" s="247"/>
      <c r="H451" s="248"/>
      <c r="I451" s="247"/>
      <c r="J451" s="248"/>
      <c r="K451" s="247"/>
      <c r="L451" s="248"/>
      <c r="M451" s="247"/>
      <c r="N451" s="248"/>
      <c r="O451" s="247"/>
      <c r="P451" s="248"/>
      <c r="Q451" s="247"/>
      <c r="R451" s="248"/>
      <c r="S451" s="247"/>
      <c r="T451" s="248"/>
      <c r="U451" s="247"/>
      <c r="V451" s="384"/>
      <c r="W451" s="247"/>
      <c r="X451" s="248"/>
      <c r="Y451" s="247"/>
      <c r="Z451" s="248"/>
      <c r="AA451" s="247"/>
      <c r="AB451" s="248"/>
      <c r="AC451" s="247"/>
      <c r="AD451" s="248"/>
      <c r="AE451" s="247"/>
      <c r="AF451" s="248"/>
      <c r="AG451" s="247"/>
      <c r="AH451" s="248"/>
      <c r="AI451" s="247"/>
    </row>
    <row r="452" spans="2:35">
      <c r="B452" s="244"/>
    </row>
    <row r="453" spans="2:35" ht="36.75" hidden="1" customHeight="1">
      <c r="B453" s="1475" t="s">
        <v>929</v>
      </c>
      <c r="C453" s="1475"/>
      <c r="D453" s="1475"/>
      <c r="E453" s="1475"/>
      <c r="F453" s="1475"/>
      <c r="G453" s="1475"/>
    </row>
    <row r="454" spans="2:35">
      <c r="B454" s="244"/>
    </row>
    <row r="455" spans="2:35">
      <c r="B455" s="419" t="s">
        <v>238</v>
      </c>
    </row>
    <row r="456" spans="2:35" ht="12" thickBot="1">
      <c r="G456" s="335" t="s">
        <v>247</v>
      </c>
    </row>
    <row r="457" spans="2:35" ht="12" thickBot="1">
      <c r="B457" s="425"/>
      <c r="C457" s="274"/>
      <c r="D457" s="1463" t="s">
        <v>860</v>
      </c>
      <c r="E457" s="1464"/>
      <c r="F457" s="1463" t="s">
        <v>17</v>
      </c>
      <c r="G457" s="1464"/>
      <c r="H457" s="1463" t="s">
        <v>18</v>
      </c>
      <c r="I457" s="1464"/>
      <c r="J457" s="1463" t="s">
        <v>19</v>
      </c>
      <c r="K457" s="1464"/>
      <c r="L457" s="1463" t="s">
        <v>20</v>
      </c>
      <c r="M457" s="1464"/>
      <c r="N457" s="1463" t="s">
        <v>21</v>
      </c>
      <c r="O457" s="1464"/>
      <c r="P457" s="1463" t="s">
        <v>22</v>
      </c>
      <c r="Q457" s="1464"/>
      <c r="R457" s="1463" t="s">
        <v>23</v>
      </c>
      <c r="S457" s="1464"/>
      <c r="T457" s="1463" t="s">
        <v>24</v>
      </c>
      <c r="U457" s="1464"/>
      <c r="V457" s="1463" t="s">
        <v>25</v>
      </c>
      <c r="W457" s="1464"/>
      <c r="X457" s="1463" t="s">
        <v>26</v>
      </c>
      <c r="Y457" s="1464"/>
      <c r="Z457" s="1463" t="s">
        <v>27</v>
      </c>
      <c r="AA457" s="1464"/>
      <c r="AB457" s="1463" t="s">
        <v>28</v>
      </c>
      <c r="AC457" s="1464"/>
      <c r="AD457" s="1463" t="s">
        <v>29</v>
      </c>
      <c r="AE457" s="1464"/>
      <c r="AF457" s="1463" t="s">
        <v>30</v>
      </c>
      <c r="AG457" s="1464"/>
      <c r="AH457" s="1463" t="s">
        <v>31</v>
      </c>
      <c r="AI457" s="1464"/>
    </row>
    <row r="458" spans="2:35">
      <c r="B458" s="428" t="s">
        <v>138</v>
      </c>
      <c r="C458" s="244"/>
      <c r="D458" s="249"/>
      <c r="E458" s="250"/>
      <c r="F458" s="249"/>
      <c r="G458" s="250"/>
      <c r="H458" s="249"/>
      <c r="I458" s="250"/>
      <c r="J458" s="249"/>
      <c r="K458" s="250"/>
      <c r="L458" s="249"/>
      <c r="M458" s="250"/>
      <c r="N458" s="249"/>
      <c r="O458" s="250"/>
      <c r="P458" s="249"/>
      <c r="Q458" s="250"/>
      <c r="R458" s="249"/>
      <c r="S458" s="250"/>
      <c r="T458" s="249"/>
      <c r="U458" s="250"/>
      <c r="V458" s="383"/>
      <c r="W458" s="250"/>
      <c r="X458" s="249"/>
      <c r="Y458" s="250"/>
      <c r="Z458" s="249"/>
      <c r="AA458" s="250"/>
      <c r="AB458" s="249"/>
      <c r="AC458" s="250"/>
      <c r="AD458" s="249"/>
      <c r="AE458" s="250"/>
      <c r="AF458" s="249"/>
      <c r="AG458" s="250"/>
      <c r="AH458" s="249"/>
      <c r="AI458" s="250"/>
    </row>
    <row r="459" spans="2:35">
      <c r="B459" s="429" t="s">
        <v>199</v>
      </c>
      <c r="C459" s="244"/>
      <c r="D459" s="237"/>
      <c r="E459" s="243">
        <f>G459+I459+K459+M459+O459+Q459+S459+U459+W459+Y459+AA459+AC459+AE459+AG459+AI459</f>
        <v>563731427</v>
      </c>
      <c r="F459" s="237"/>
      <c r="G459" s="243">
        <v>8642</v>
      </c>
      <c r="H459" s="237"/>
      <c r="I459" s="243"/>
      <c r="J459" s="237"/>
      <c r="K459" s="243"/>
      <c r="L459" s="237"/>
      <c r="M459" s="243">
        <v>563346170</v>
      </c>
      <c r="N459" s="237"/>
      <c r="O459" s="243">
        <v>211</v>
      </c>
      <c r="P459" s="237"/>
      <c r="Q459" s="243"/>
      <c r="R459" s="237"/>
      <c r="S459" s="243"/>
      <c r="T459" s="237"/>
      <c r="U459" s="243">
        <v>376404</v>
      </c>
      <c r="V459" s="348"/>
      <c r="W459" s="243"/>
      <c r="X459" s="237"/>
      <c r="Y459" s="243"/>
      <c r="Z459" s="237"/>
      <c r="AA459" s="243"/>
      <c r="AB459" s="237"/>
      <c r="AC459" s="243"/>
      <c r="AD459" s="237"/>
      <c r="AE459" s="243"/>
      <c r="AF459" s="237"/>
      <c r="AG459" s="243"/>
      <c r="AH459" s="237"/>
      <c r="AI459" s="243"/>
    </row>
    <row r="460" spans="2:35">
      <c r="B460" s="429" t="s">
        <v>200</v>
      </c>
      <c r="C460" s="244"/>
      <c r="D460" s="237"/>
      <c r="E460" s="243">
        <f>G460+I460+K460+M460+O460+Q460+S460+U460+W460+Y460+AA460+AC460+AE460+AG460+AI460</f>
        <v>15429</v>
      </c>
      <c r="F460" s="237"/>
      <c r="G460" s="243">
        <v>10527</v>
      </c>
      <c r="H460" s="237"/>
      <c r="I460" s="243"/>
      <c r="J460" s="237"/>
      <c r="K460" s="243"/>
      <c r="L460" s="237"/>
      <c r="M460" s="243"/>
      <c r="N460" s="237"/>
      <c r="O460" s="243"/>
      <c r="P460" s="237"/>
      <c r="Q460" s="243"/>
      <c r="R460" s="237"/>
      <c r="S460" s="243">
        <v>3370</v>
      </c>
      <c r="T460" s="237"/>
      <c r="U460" s="243"/>
      <c r="V460" s="348"/>
      <c r="W460" s="243"/>
      <c r="X460" s="237"/>
      <c r="Y460" s="243"/>
      <c r="Z460" s="237"/>
      <c r="AA460" s="243"/>
      <c r="AB460" s="237"/>
      <c r="AC460" s="243">
        <v>1425</v>
      </c>
      <c r="AD460" s="237"/>
      <c r="AE460" s="243"/>
      <c r="AF460" s="237"/>
      <c r="AG460" s="243"/>
      <c r="AH460" s="237"/>
      <c r="AI460" s="243">
        <v>107</v>
      </c>
    </row>
    <row r="461" spans="2:35">
      <c r="B461" s="429" t="s">
        <v>201</v>
      </c>
      <c r="C461" s="244"/>
      <c r="D461" s="237"/>
      <c r="E461" s="243"/>
      <c r="F461" s="237"/>
      <c r="G461" s="243"/>
      <c r="H461" s="237"/>
      <c r="I461" s="243"/>
      <c r="J461" s="237"/>
      <c r="K461" s="243"/>
      <c r="L461" s="237"/>
      <c r="M461" s="243"/>
      <c r="N461" s="237"/>
      <c r="O461" s="243"/>
      <c r="P461" s="237"/>
      <c r="Q461" s="243"/>
      <c r="R461" s="237"/>
      <c r="S461" s="243"/>
      <c r="T461" s="237"/>
      <c r="U461" s="243"/>
      <c r="V461" s="348"/>
      <c r="W461" s="243"/>
      <c r="X461" s="237"/>
      <c r="Y461" s="243"/>
      <c r="Z461" s="237"/>
      <c r="AA461" s="243"/>
      <c r="AB461" s="237"/>
      <c r="AC461" s="243"/>
      <c r="AD461" s="237"/>
      <c r="AE461" s="243"/>
      <c r="AF461" s="237"/>
      <c r="AG461" s="243"/>
      <c r="AH461" s="237"/>
      <c r="AI461" s="243"/>
    </row>
    <row r="462" spans="2:35">
      <c r="B462" s="430" t="s">
        <v>139</v>
      </c>
      <c r="C462" s="431"/>
      <c r="D462" s="237">
        <f>F462+H462+J462+L462+N462+P462+R462+T462+V462+X462+Z462+AB462+AD462+AF462+AH462</f>
        <v>236061926</v>
      </c>
      <c r="E462" s="243"/>
      <c r="F462" s="237">
        <v>5690648</v>
      </c>
      <c r="G462" s="243"/>
      <c r="H462" s="237">
        <v>269779</v>
      </c>
      <c r="I462" s="243"/>
      <c r="J462" s="237">
        <v>10000</v>
      </c>
      <c r="K462" s="243"/>
      <c r="L462" s="237">
        <v>5637019</v>
      </c>
      <c r="M462" s="243"/>
      <c r="N462" s="237">
        <v>9441</v>
      </c>
      <c r="O462" s="243"/>
      <c r="P462" s="237">
        <v>109280097</v>
      </c>
      <c r="Q462" s="243"/>
      <c r="R462" s="237">
        <v>3234426</v>
      </c>
      <c r="S462" s="243"/>
      <c r="T462" s="237">
        <v>58770</v>
      </c>
      <c r="U462" s="243"/>
      <c r="V462" s="348">
        <v>-83947</v>
      </c>
      <c r="W462" s="243"/>
      <c r="X462" s="237">
        <v>8235211</v>
      </c>
      <c r="Y462" s="243"/>
      <c r="Z462" s="237">
        <v>90037790</v>
      </c>
      <c r="AA462" s="243"/>
      <c r="AB462" s="237">
        <v>295762</v>
      </c>
      <c r="AC462" s="243"/>
      <c r="AD462" s="237">
        <v>8271761</v>
      </c>
      <c r="AE462" s="243"/>
      <c r="AF462" s="237">
        <v>4628101</v>
      </c>
      <c r="AG462" s="243"/>
      <c r="AH462" s="237">
        <v>487068</v>
      </c>
      <c r="AI462" s="243"/>
    </row>
    <row r="463" spans="2:35">
      <c r="B463" s="430" t="s">
        <v>140</v>
      </c>
      <c r="C463" s="431"/>
      <c r="D463" s="237">
        <f>F463+H463+J463+L463+N463+P463+R463+T463+V463+X463+Z463+AB463+AD463+AF463+AH463</f>
        <v>427534038</v>
      </c>
      <c r="E463" s="243"/>
      <c r="F463" s="237">
        <v>426536295</v>
      </c>
      <c r="G463" s="243"/>
      <c r="H463" s="237"/>
      <c r="I463" s="243"/>
      <c r="J463" s="237"/>
      <c r="K463" s="243"/>
      <c r="L463" s="237"/>
      <c r="M463" s="243"/>
      <c r="N463" s="237"/>
      <c r="O463" s="243"/>
      <c r="P463" s="237"/>
      <c r="Q463" s="243"/>
      <c r="R463" s="237"/>
      <c r="S463" s="243"/>
      <c r="T463" s="237"/>
      <c r="U463" s="243"/>
      <c r="V463" s="348"/>
      <c r="W463" s="243"/>
      <c r="X463" s="237"/>
      <c r="Y463" s="243"/>
      <c r="Z463" s="237"/>
      <c r="AA463" s="243"/>
      <c r="AB463" s="237">
        <v>52837</v>
      </c>
      <c r="AC463" s="243"/>
      <c r="AD463" s="237">
        <v>944906</v>
      </c>
      <c r="AE463" s="243"/>
      <c r="AF463" s="237"/>
      <c r="AG463" s="243"/>
      <c r="AH463" s="237"/>
      <c r="AI463" s="243"/>
    </row>
    <row r="464" spans="2:35" ht="22.5" thickBot="1">
      <c r="B464" s="345" t="s">
        <v>141</v>
      </c>
      <c r="C464" s="432"/>
      <c r="D464" s="245">
        <f>F464+H464+J464+L464+N464+P464+R464+T464+V464+X464+Z464+AB464+AD464+AF464+AH464</f>
        <v>2683746211</v>
      </c>
      <c r="E464" s="243">
        <f>+SUM(D462:D464)</f>
        <v>3347342175</v>
      </c>
      <c r="F464" s="245">
        <v>2680746211</v>
      </c>
      <c r="G464" s="243">
        <f>+SUM(F462:F464)</f>
        <v>3112973154</v>
      </c>
      <c r="H464" s="245"/>
      <c r="I464" s="243">
        <f>+SUM(H462:H464)</f>
        <v>269779</v>
      </c>
      <c r="J464" s="245"/>
      <c r="K464" s="243">
        <f>+SUM(J462:J464)</f>
        <v>10000</v>
      </c>
      <c r="L464" s="245"/>
      <c r="M464" s="243">
        <f>+SUM(L462:L464)</f>
        <v>5637019</v>
      </c>
      <c r="N464" s="245"/>
      <c r="O464" s="243">
        <f>+SUM(N462:N464)</f>
        <v>9441</v>
      </c>
      <c r="P464" s="245"/>
      <c r="Q464" s="243">
        <f>+SUM(P462:P464)</f>
        <v>109280097</v>
      </c>
      <c r="R464" s="245"/>
      <c r="S464" s="243">
        <f>+SUM(R462:R464)</f>
        <v>3234426</v>
      </c>
      <c r="T464" s="245"/>
      <c r="U464" s="243">
        <f>+SUM(T462:T464)</f>
        <v>58770</v>
      </c>
      <c r="V464" s="344"/>
      <c r="W464" s="243">
        <f>+SUM(V462:V464)</f>
        <v>-83947</v>
      </c>
      <c r="X464" s="245"/>
      <c r="Y464" s="243">
        <f>+SUM(X462:X464)</f>
        <v>8235211</v>
      </c>
      <c r="Z464" s="245"/>
      <c r="AA464" s="243">
        <f>+SUM(Z462:Z464)</f>
        <v>90037790</v>
      </c>
      <c r="AB464" s="245">
        <v>3000000</v>
      </c>
      <c r="AC464" s="243">
        <f>+SUM(AB462:AB464)</f>
        <v>3348599</v>
      </c>
      <c r="AD464" s="245"/>
      <c r="AE464" s="243">
        <f>+SUM(AD462:AD464)</f>
        <v>9216667</v>
      </c>
      <c r="AF464" s="245"/>
      <c r="AG464" s="243">
        <f>+SUM(AF462:AF464)</f>
        <v>4628101</v>
      </c>
      <c r="AH464" s="245"/>
      <c r="AI464" s="243">
        <f>+SUM(AH462:AH464)</f>
        <v>487068</v>
      </c>
    </row>
    <row r="465" spans="2:35">
      <c r="B465" s="428"/>
      <c r="C465" s="244"/>
      <c r="D465" s="237"/>
      <c r="E465" s="243"/>
      <c r="F465" s="237"/>
      <c r="G465" s="243"/>
      <c r="H465" s="237"/>
      <c r="I465" s="243"/>
      <c r="J465" s="237"/>
      <c r="K465" s="243"/>
      <c r="L465" s="237"/>
      <c r="M465" s="243"/>
      <c r="N465" s="237"/>
      <c r="O465" s="243"/>
      <c r="P465" s="237"/>
      <c r="Q465" s="243"/>
      <c r="R465" s="237"/>
      <c r="S465" s="243"/>
      <c r="T465" s="237"/>
      <c r="U465" s="243"/>
      <c r="V465" s="348"/>
      <c r="W465" s="243"/>
      <c r="X465" s="237"/>
      <c r="Y465" s="243"/>
      <c r="Z465" s="237"/>
      <c r="AA465" s="243"/>
      <c r="AB465" s="237"/>
      <c r="AC465" s="243"/>
      <c r="AD465" s="237"/>
      <c r="AE465" s="243"/>
      <c r="AF465" s="237"/>
      <c r="AG465" s="243"/>
      <c r="AH465" s="237"/>
      <c r="AI465" s="243"/>
    </row>
    <row r="466" spans="2:35">
      <c r="B466" s="428" t="s">
        <v>237</v>
      </c>
      <c r="C466" s="244"/>
      <c r="D466" s="237"/>
      <c r="E466" s="243"/>
      <c r="F466" s="237"/>
      <c r="G466" s="243"/>
      <c r="H466" s="237"/>
      <c r="I466" s="243"/>
      <c r="J466" s="237"/>
      <c r="K466" s="243"/>
      <c r="L466" s="237"/>
      <c r="M466" s="243"/>
      <c r="N466" s="237"/>
      <c r="O466" s="243"/>
      <c r="P466" s="237"/>
      <c r="Q466" s="243"/>
      <c r="R466" s="237"/>
      <c r="S466" s="243"/>
      <c r="T466" s="237"/>
      <c r="U466" s="243"/>
      <c r="V466" s="348"/>
      <c r="W466" s="243"/>
      <c r="X466" s="237"/>
      <c r="Y466" s="243"/>
      <c r="Z466" s="237"/>
      <c r="AA466" s="243"/>
      <c r="AB466" s="237"/>
      <c r="AC466" s="243"/>
      <c r="AD466" s="237"/>
      <c r="AE466" s="243"/>
      <c r="AF466" s="237"/>
      <c r="AG466" s="243"/>
      <c r="AH466" s="237"/>
      <c r="AI466" s="243"/>
    </row>
    <row r="467" spans="2:35">
      <c r="B467" s="428"/>
      <c r="C467" s="244"/>
      <c r="D467" s="237"/>
      <c r="E467" s="243"/>
      <c r="F467" s="237"/>
      <c r="G467" s="243"/>
      <c r="H467" s="237"/>
      <c r="I467" s="243"/>
      <c r="J467" s="237"/>
      <c r="K467" s="243"/>
      <c r="L467" s="237"/>
      <c r="M467" s="243"/>
      <c r="N467" s="237"/>
      <c r="O467" s="243"/>
      <c r="P467" s="237"/>
      <c r="Q467" s="243"/>
      <c r="R467" s="237"/>
      <c r="S467" s="243"/>
      <c r="T467" s="237"/>
      <c r="U467" s="243"/>
      <c r="V467" s="348"/>
      <c r="W467" s="243"/>
      <c r="X467" s="237"/>
      <c r="Y467" s="243"/>
      <c r="Z467" s="237"/>
      <c r="AA467" s="243"/>
      <c r="AB467" s="237"/>
      <c r="AC467" s="243"/>
      <c r="AD467" s="237"/>
      <c r="AE467" s="243"/>
      <c r="AF467" s="237"/>
      <c r="AG467" s="243"/>
      <c r="AH467" s="237"/>
      <c r="AI467" s="243"/>
    </row>
    <row r="468" spans="2:35">
      <c r="B468" s="429" t="s">
        <v>711</v>
      </c>
      <c r="C468" s="433"/>
      <c r="D468" s="237">
        <f>F468+H468+J468+L468+N468+P468+R468+T468+V468+X468+Z468+AB468+AD468+AF468+AH468</f>
        <v>3000000</v>
      </c>
      <c r="E468" s="243"/>
      <c r="F468" s="237"/>
      <c r="G468" s="243"/>
      <c r="H468" s="237"/>
      <c r="I468" s="243"/>
      <c r="J468" s="237"/>
      <c r="K468" s="243"/>
      <c r="L468" s="237"/>
      <c r="M468" s="243"/>
      <c r="N468" s="237"/>
      <c r="O468" s="243"/>
      <c r="P468" s="237"/>
      <c r="Q468" s="243"/>
      <c r="R468" s="237"/>
      <c r="S468" s="243"/>
      <c r="T468" s="237"/>
      <c r="U468" s="243"/>
      <c r="V468" s="348">
        <v>3000000</v>
      </c>
      <c r="W468" s="243"/>
      <c r="X468" s="237"/>
      <c r="Y468" s="243"/>
      <c r="Z468" s="237"/>
      <c r="AA468" s="243"/>
      <c r="AB468" s="237"/>
      <c r="AC468" s="243"/>
      <c r="AD468" s="237"/>
      <c r="AE468" s="243"/>
      <c r="AF468" s="237"/>
      <c r="AG468" s="243"/>
      <c r="AH468" s="237"/>
      <c r="AI468" s="243"/>
    </row>
    <row r="469" spans="2:35" ht="22.5" customHeight="1">
      <c r="B469" s="1481" t="s">
        <v>205</v>
      </c>
      <c r="C469" s="1482"/>
      <c r="D469" s="237">
        <f>F469+H469+J469+L469+N469+P469+R469+T469+V469+X469+Z469+AB469+AD469+AF469+AH469</f>
        <v>10685298471</v>
      </c>
      <c r="E469" s="243"/>
      <c r="F469" s="237">
        <v>10630000000</v>
      </c>
      <c r="G469" s="243"/>
      <c r="H469" s="237"/>
      <c r="I469" s="243"/>
      <c r="J469" s="237"/>
      <c r="K469" s="243"/>
      <c r="L469" s="237"/>
      <c r="M469" s="243"/>
      <c r="N469" s="237"/>
      <c r="O469" s="243"/>
      <c r="P469" s="237">
        <v>1093083</v>
      </c>
      <c r="Q469" s="243"/>
      <c r="R469" s="237"/>
      <c r="S469" s="243"/>
      <c r="T469" s="237"/>
      <c r="U469" s="243"/>
      <c r="V469" s="348"/>
      <c r="W469" s="243"/>
      <c r="X469" s="237">
        <v>24190506</v>
      </c>
      <c r="Y469" s="243"/>
      <c r="Z469" s="237">
        <v>500000</v>
      </c>
      <c r="AA469" s="243"/>
      <c r="AB469" s="237">
        <v>2000000</v>
      </c>
      <c r="AC469" s="243"/>
      <c r="AD469" s="237">
        <v>27500000</v>
      </c>
      <c r="AE469" s="243"/>
      <c r="AF469" s="237">
        <v>14882</v>
      </c>
      <c r="AG469" s="243"/>
      <c r="AH469" s="237"/>
      <c r="AI469" s="243"/>
    </row>
    <row r="470" spans="2:35" ht="12" thickBot="1">
      <c r="B470" s="429" t="s">
        <v>206</v>
      </c>
      <c r="C470" s="433"/>
      <c r="D470" s="245">
        <f>F470+H470+J470+L470+N470+P470+R470+T470+V470+X470+Z470+AB470+AD470+AF470+AH470</f>
        <v>1125000</v>
      </c>
      <c r="E470" s="243">
        <f>+SUM(D468:D470)</f>
        <v>10689423471</v>
      </c>
      <c r="F470" s="245"/>
      <c r="G470" s="243">
        <f>+SUM(F468:F470)</f>
        <v>10630000000</v>
      </c>
      <c r="H470" s="245"/>
      <c r="I470" s="243">
        <f>+SUM(H468:H470)</f>
        <v>0</v>
      </c>
      <c r="J470" s="245">
        <v>25000</v>
      </c>
      <c r="K470" s="243">
        <f>+SUM(J468:J470)</f>
        <v>25000</v>
      </c>
      <c r="L470" s="245"/>
      <c r="M470" s="243">
        <f>+SUM(L468:L470)</f>
        <v>0</v>
      </c>
      <c r="N470" s="245"/>
      <c r="O470" s="243">
        <f>+SUM(N468:N470)</f>
        <v>0</v>
      </c>
      <c r="P470" s="245"/>
      <c r="Q470" s="243">
        <f>+SUM(P468:P470)</f>
        <v>1093083</v>
      </c>
      <c r="R470" s="245"/>
      <c r="S470" s="243">
        <f>+SUM(R468:R470)</f>
        <v>0</v>
      </c>
      <c r="T470" s="245">
        <v>100000</v>
      </c>
      <c r="U470" s="243">
        <f>+SUM(T468:T470)</f>
        <v>100000</v>
      </c>
      <c r="V470" s="344"/>
      <c r="W470" s="243">
        <f>+SUM(V468:V470)</f>
        <v>3000000</v>
      </c>
      <c r="X470" s="245"/>
      <c r="Y470" s="243">
        <f>+SUM(X468:X470)</f>
        <v>24190506</v>
      </c>
      <c r="Z470" s="245"/>
      <c r="AA470" s="243">
        <f>+SUM(Z468:Z470)</f>
        <v>500000</v>
      </c>
      <c r="AB470" s="245">
        <v>1000000</v>
      </c>
      <c r="AC470" s="243">
        <f>+SUM(AB468:AB470)</f>
        <v>3000000</v>
      </c>
      <c r="AD470" s="245"/>
      <c r="AE470" s="243">
        <f>+SUM(AD468:AD470)</f>
        <v>27500000</v>
      </c>
      <c r="AF470" s="245"/>
      <c r="AG470" s="243">
        <f>+SUM(AF468:AF470)</f>
        <v>14882</v>
      </c>
      <c r="AH470" s="245"/>
      <c r="AI470" s="243">
        <f>+SUM(AH468:AH470)</f>
        <v>0</v>
      </c>
    </row>
    <row r="471" spans="2:35">
      <c r="B471" s="237"/>
      <c r="C471" s="244"/>
      <c r="D471" s="237"/>
      <c r="E471" s="243"/>
      <c r="F471" s="237"/>
      <c r="G471" s="243"/>
      <c r="H471" s="237"/>
      <c r="I471" s="243"/>
      <c r="J471" s="237"/>
      <c r="K471" s="243"/>
      <c r="L471" s="237"/>
      <c r="M471" s="243"/>
      <c r="N471" s="237"/>
      <c r="O471" s="243"/>
      <c r="P471" s="237"/>
      <c r="Q471" s="243"/>
      <c r="R471" s="237"/>
      <c r="S471" s="243"/>
      <c r="T471" s="237"/>
      <c r="U471" s="243"/>
      <c r="V471" s="348"/>
      <c r="W471" s="243"/>
      <c r="X471" s="237"/>
      <c r="Y471" s="243"/>
      <c r="Z471" s="237"/>
      <c r="AA471" s="243"/>
      <c r="AB471" s="237"/>
      <c r="AC471" s="243"/>
      <c r="AD471" s="237"/>
      <c r="AE471" s="243"/>
      <c r="AF471" s="237"/>
      <c r="AG471" s="243"/>
      <c r="AH471" s="237"/>
      <c r="AI471" s="243"/>
    </row>
    <row r="472" spans="2:35" ht="12" thickBot="1">
      <c r="B472" s="237" t="s">
        <v>806</v>
      </c>
      <c r="C472" s="244"/>
      <c r="D472" s="237"/>
      <c r="E472" s="246">
        <f>SUM(E459:E471)</f>
        <v>14600512502</v>
      </c>
      <c r="F472" s="237"/>
      <c r="G472" s="246">
        <f>SUM(G459:G471)</f>
        <v>13742992323</v>
      </c>
      <c r="H472" s="237"/>
      <c r="I472" s="246">
        <f>SUM(I459:I471)</f>
        <v>269779</v>
      </c>
      <c r="J472" s="237"/>
      <c r="K472" s="246">
        <f>SUM(K459:K471)</f>
        <v>35000</v>
      </c>
      <c r="L472" s="237"/>
      <c r="M472" s="246">
        <f>SUM(M459:M471)</f>
        <v>568983189</v>
      </c>
      <c r="N472" s="237"/>
      <c r="O472" s="246">
        <f>SUM(O459:O471)</f>
        <v>9652</v>
      </c>
      <c r="P472" s="237"/>
      <c r="Q472" s="246">
        <f>SUM(Q459:Q471)</f>
        <v>110373180</v>
      </c>
      <c r="R472" s="237"/>
      <c r="S472" s="246">
        <f>SUM(S459:S471)</f>
        <v>3237796</v>
      </c>
      <c r="T472" s="237"/>
      <c r="U472" s="246">
        <f>SUM(U459:U471)</f>
        <v>535174</v>
      </c>
      <c r="V472" s="348"/>
      <c r="W472" s="246">
        <f>SUM(W459:W471)</f>
        <v>2916053</v>
      </c>
      <c r="X472" s="237"/>
      <c r="Y472" s="246">
        <f>SUM(Y459:Y471)</f>
        <v>32425717</v>
      </c>
      <c r="Z472" s="237"/>
      <c r="AA472" s="246">
        <f>SUM(AA459:AA471)</f>
        <v>90537790</v>
      </c>
      <c r="AB472" s="237"/>
      <c r="AC472" s="246">
        <f>SUM(AC459:AC471)</f>
        <v>6350024</v>
      </c>
      <c r="AD472" s="237"/>
      <c r="AE472" s="246">
        <f>SUM(AE459:AE471)</f>
        <v>36716667</v>
      </c>
      <c r="AF472" s="237"/>
      <c r="AG472" s="246">
        <f>SUM(AG459:AG471)</f>
        <v>4642983</v>
      </c>
      <c r="AH472" s="237"/>
      <c r="AI472" s="246">
        <f>SUM(AI459:AI471)</f>
        <v>487175</v>
      </c>
    </row>
    <row r="473" spans="2:35" ht="12.75" thickTop="1" thickBot="1">
      <c r="B473" s="245"/>
      <c r="C473" s="248"/>
      <c r="D473" s="245"/>
      <c r="E473" s="247"/>
      <c r="F473" s="245"/>
      <c r="G473" s="247"/>
      <c r="H473" s="245"/>
      <c r="I473" s="247"/>
      <c r="J473" s="245"/>
      <c r="K473" s="247"/>
      <c r="L473" s="245"/>
      <c r="M473" s="247"/>
      <c r="N473" s="245"/>
      <c r="O473" s="247"/>
      <c r="P473" s="245"/>
      <c r="Q473" s="247"/>
      <c r="R473" s="245"/>
      <c r="S473" s="247"/>
      <c r="T473" s="245"/>
      <c r="U473" s="247"/>
      <c r="V473" s="344"/>
      <c r="W473" s="247"/>
      <c r="X473" s="245"/>
      <c r="Y473" s="247"/>
      <c r="Z473" s="245"/>
      <c r="AA473" s="247"/>
      <c r="AB473" s="245"/>
      <c r="AC473" s="247"/>
      <c r="AD473" s="245"/>
      <c r="AE473" s="247"/>
      <c r="AF473" s="245"/>
      <c r="AG473" s="247"/>
      <c r="AH473" s="245"/>
      <c r="AI473" s="247"/>
    </row>
    <row r="475" spans="2:35" ht="22.5" hidden="1" customHeight="1">
      <c r="B475" s="1475" t="s">
        <v>239</v>
      </c>
      <c r="C475" s="1475"/>
      <c r="D475" s="1475"/>
      <c r="E475" s="1475"/>
      <c r="F475" s="1475"/>
      <c r="G475" s="1475"/>
    </row>
    <row r="476" spans="2:35" hidden="1"/>
    <row r="477" spans="2:35" ht="21.75">
      <c r="B477" s="419" t="s">
        <v>240</v>
      </c>
    </row>
    <row r="478" spans="2:35" ht="12" thickBot="1">
      <c r="G478" s="335" t="s">
        <v>247</v>
      </c>
    </row>
    <row r="479" spans="2:35" ht="12" thickBot="1">
      <c r="B479" s="425"/>
      <c r="C479" s="274"/>
      <c r="D479" s="1463" t="s">
        <v>860</v>
      </c>
      <c r="E479" s="1464"/>
      <c r="F479" s="1463" t="s">
        <v>17</v>
      </c>
      <c r="G479" s="1464"/>
      <c r="H479" s="1463" t="s">
        <v>18</v>
      </c>
      <c r="I479" s="1464"/>
      <c r="J479" s="1463" t="s">
        <v>19</v>
      </c>
      <c r="K479" s="1464"/>
      <c r="L479" s="1463" t="s">
        <v>20</v>
      </c>
      <c r="M479" s="1464"/>
      <c r="N479" s="1463" t="s">
        <v>21</v>
      </c>
      <c r="O479" s="1464"/>
      <c r="P479" s="1463" t="s">
        <v>22</v>
      </c>
      <c r="Q479" s="1464"/>
      <c r="R479" s="1463" t="s">
        <v>23</v>
      </c>
      <c r="S479" s="1464"/>
      <c r="T479" s="1463" t="s">
        <v>24</v>
      </c>
      <c r="U479" s="1464"/>
      <c r="V479" s="1463" t="s">
        <v>25</v>
      </c>
      <c r="W479" s="1464"/>
      <c r="X479" s="1463" t="s">
        <v>26</v>
      </c>
      <c r="Y479" s="1464"/>
      <c r="Z479" s="1463" t="s">
        <v>27</v>
      </c>
      <c r="AA479" s="1464"/>
      <c r="AB479" s="1463" t="s">
        <v>28</v>
      </c>
      <c r="AC479" s="1464"/>
      <c r="AD479" s="1463" t="s">
        <v>29</v>
      </c>
      <c r="AE479" s="1464"/>
      <c r="AF479" s="1463" t="s">
        <v>30</v>
      </c>
      <c r="AG479" s="1464"/>
      <c r="AH479" s="1463" t="s">
        <v>31</v>
      </c>
      <c r="AI479" s="1464"/>
    </row>
    <row r="480" spans="2:35" ht="21">
      <c r="B480" s="434" t="s">
        <v>1037</v>
      </c>
      <c r="C480" s="435"/>
      <c r="D480" s="237"/>
      <c r="E480" s="243"/>
      <c r="F480" s="237"/>
      <c r="G480" s="243"/>
      <c r="H480" s="237"/>
      <c r="I480" s="243"/>
      <c r="J480" s="237"/>
      <c r="K480" s="243"/>
      <c r="L480" s="237"/>
      <c r="M480" s="243"/>
      <c r="N480" s="237"/>
      <c r="O480" s="243"/>
      <c r="P480" s="237"/>
      <c r="Q480" s="243"/>
      <c r="R480" s="237"/>
      <c r="S480" s="243"/>
      <c r="T480" s="237"/>
      <c r="U480" s="243"/>
      <c r="V480" s="348"/>
      <c r="W480" s="243"/>
      <c r="X480" s="237"/>
      <c r="Y480" s="243"/>
      <c r="Z480" s="237"/>
      <c r="AA480" s="243"/>
      <c r="AB480" s="237"/>
      <c r="AC480" s="243"/>
      <c r="AD480" s="237"/>
      <c r="AE480" s="243"/>
      <c r="AF480" s="237"/>
      <c r="AG480" s="243"/>
      <c r="AH480" s="237"/>
      <c r="AI480" s="243"/>
    </row>
    <row r="481" spans="2:35">
      <c r="B481" s="436" t="s">
        <v>207</v>
      </c>
      <c r="C481" s="435"/>
      <c r="D481" s="237">
        <f>F481+H481+J481+L481+N481+P481+R481+T481+V481+X481+Z481+AB481+AD481+AF481+AH481</f>
        <v>0</v>
      </c>
      <c r="E481" s="243"/>
      <c r="F481" s="237"/>
      <c r="G481" s="243"/>
      <c r="H481" s="237"/>
      <c r="I481" s="243"/>
      <c r="J481" s="237"/>
      <c r="K481" s="243"/>
      <c r="L481" s="237"/>
      <c r="M481" s="243"/>
      <c r="N481" s="237"/>
      <c r="O481" s="243"/>
      <c r="P481" s="237"/>
      <c r="Q481" s="243"/>
      <c r="R481" s="237"/>
      <c r="S481" s="243"/>
      <c r="T481" s="237"/>
      <c r="U481" s="243"/>
      <c r="V481" s="348"/>
      <c r="W481" s="243"/>
      <c r="X481" s="237"/>
      <c r="Y481" s="243"/>
      <c r="Z481" s="237"/>
      <c r="AA481" s="243"/>
      <c r="AB481" s="237"/>
      <c r="AC481" s="243"/>
      <c r="AD481" s="237"/>
      <c r="AE481" s="243"/>
      <c r="AF481" s="237"/>
      <c r="AG481" s="243"/>
      <c r="AH481" s="237"/>
      <c r="AI481" s="243"/>
    </row>
    <row r="482" spans="2:35">
      <c r="B482" s="436" t="s">
        <v>979</v>
      </c>
      <c r="C482" s="435"/>
      <c r="D482" s="237">
        <f>F482+H482+J482+L482+N482+P482+R482+T482+V482+X482+Z482+AB482+AD482+AF482+AH482</f>
        <v>0</v>
      </c>
      <c r="E482" s="243"/>
      <c r="F482" s="237"/>
      <c r="G482" s="243"/>
      <c r="H482" s="237"/>
      <c r="I482" s="243"/>
      <c r="J482" s="237"/>
      <c r="K482" s="243"/>
      <c r="L482" s="237"/>
      <c r="M482" s="243"/>
      <c r="N482" s="237"/>
      <c r="O482" s="243"/>
      <c r="P482" s="237"/>
      <c r="Q482" s="243"/>
      <c r="R482" s="237"/>
      <c r="S482" s="243"/>
      <c r="T482" s="237"/>
      <c r="U482" s="243"/>
      <c r="V482" s="348"/>
      <c r="W482" s="243"/>
      <c r="X482" s="237"/>
      <c r="Y482" s="243"/>
      <c r="Z482" s="237"/>
      <c r="AA482" s="243"/>
      <c r="AB482" s="237"/>
      <c r="AC482" s="243"/>
      <c r="AD482" s="237"/>
      <c r="AE482" s="243"/>
      <c r="AF482" s="237"/>
      <c r="AG482" s="243"/>
      <c r="AH482" s="237"/>
      <c r="AI482" s="243"/>
    </row>
    <row r="483" spans="2:35" ht="12" thickBot="1">
      <c r="B483" s="436" t="s">
        <v>980</v>
      </c>
      <c r="C483" s="435"/>
      <c r="D483" s="245">
        <f>F483+H483+J483+L483+N483+P483+R483+T483+V483+X483+Z483+AB483+AD483+AF483+AH483</f>
        <v>0</v>
      </c>
      <c r="E483" s="243"/>
      <c r="F483" s="245"/>
      <c r="G483" s="243"/>
      <c r="H483" s="245"/>
      <c r="I483" s="243"/>
      <c r="J483" s="245"/>
      <c r="K483" s="243"/>
      <c r="L483" s="245"/>
      <c r="M483" s="243"/>
      <c r="N483" s="245"/>
      <c r="O483" s="243"/>
      <c r="P483" s="245"/>
      <c r="Q483" s="243"/>
      <c r="R483" s="245"/>
      <c r="S483" s="243"/>
      <c r="T483" s="245"/>
      <c r="U483" s="243"/>
      <c r="V483" s="344"/>
      <c r="W483" s="243"/>
      <c r="X483" s="245"/>
      <c r="Y483" s="243"/>
      <c r="Z483" s="245"/>
      <c r="AA483" s="243"/>
      <c r="AB483" s="245"/>
      <c r="AC483" s="243"/>
      <c r="AD483" s="245"/>
      <c r="AE483" s="243"/>
      <c r="AF483" s="245"/>
      <c r="AG483" s="243"/>
      <c r="AH483" s="245"/>
      <c r="AI483" s="243"/>
    </row>
    <row r="484" spans="2:35">
      <c r="B484" s="343"/>
      <c r="C484" s="435"/>
      <c r="D484" s="237">
        <f>+SUM(D481:D483)</f>
        <v>0</v>
      </c>
      <c r="E484" s="243"/>
      <c r="F484" s="237">
        <f>+SUM(F481:F483)</f>
        <v>0</v>
      </c>
      <c r="G484" s="243"/>
      <c r="H484" s="237">
        <f>+SUM(H481:H483)</f>
        <v>0</v>
      </c>
      <c r="I484" s="243"/>
      <c r="J484" s="237">
        <f>+SUM(J481:J483)</f>
        <v>0</v>
      </c>
      <c r="K484" s="243"/>
      <c r="L484" s="237">
        <f>+SUM(L481:L483)</f>
        <v>0</v>
      </c>
      <c r="M484" s="243"/>
      <c r="N484" s="237">
        <f>+SUM(N481:N483)</f>
        <v>0</v>
      </c>
      <c r="O484" s="243"/>
      <c r="P484" s="237">
        <f>+SUM(P481:P483)</f>
        <v>0</v>
      </c>
      <c r="Q484" s="243"/>
      <c r="R484" s="237">
        <f>+SUM(R481:R483)</f>
        <v>0</v>
      </c>
      <c r="S484" s="243"/>
      <c r="T484" s="237">
        <f>+SUM(T481:T483)</f>
        <v>0</v>
      </c>
      <c r="U484" s="243"/>
      <c r="V484" s="348">
        <f>+SUM(V481:V483)</f>
        <v>0</v>
      </c>
      <c r="W484" s="243"/>
      <c r="X484" s="237">
        <f>+SUM(X481:X483)</f>
        <v>0</v>
      </c>
      <c r="Y484" s="243"/>
      <c r="Z484" s="237">
        <f>+SUM(Z481:Z483)</f>
        <v>0</v>
      </c>
      <c r="AA484" s="243"/>
      <c r="AB484" s="237">
        <f>+SUM(AB481:AB483)</f>
        <v>0</v>
      </c>
      <c r="AC484" s="243"/>
      <c r="AD484" s="237">
        <f>+SUM(AD481:AD483)</f>
        <v>0</v>
      </c>
      <c r="AE484" s="243"/>
      <c r="AF484" s="237">
        <f>+SUM(AF481:AF483)</f>
        <v>0</v>
      </c>
      <c r="AG484" s="243"/>
      <c r="AH484" s="237">
        <f>+SUM(AH481:AH483)</f>
        <v>0</v>
      </c>
      <c r="AI484" s="243"/>
    </row>
    <row r="485" spans="2:35" ht="21.75" thickBot="1">
      <c r="B485" s="364" t="s">
        <v>211</v>
      </c>
      <c r="C485" s="437"/>
      <c r="D485" s="245">
        <f>F485+H485+J485+L485+N485+P485+R485+T485+V485+X485+Z485+AB485+AD485+AF485+AH485</f>
        <v>0</v>
      </c>
      <c r="E485" s="243">
        <f>+D484-D485</f>
        <v>0</v>
      </c>
      <c r="F485" s="245"/>
      <c r="G485" s="243">
        <f>+F484-F485</f>
        <v>0</v>
      </c>
      <c r="H485" s="245"/>
      <c r="I485" s="243">
        <f>+H484-H485</f>
        <v>0</v>
      </c>
      <c r="J485" s="245"/>
      <c r="K485" s="243">
        <f>+J484-J485</f>
        <v>0</v>
      </c>
      <c r="L485" s="245"/>
      <c r="M485" s="243">
        <f>+L484-L485</f>
        <v>0</v>
      </c>
      <c r="N485" s="245"/>
      <c r="O485" s="243">
        <f>+N484-N485</f>
        <v>0</v>
      </c>
      <c r="P485" s="245"/>
      <c r="Q485" s="243">
        <f>+P484-P485</f>
        <v>0</v>
      </c>
      <c r="R485" s="245"/>
      <c r="S485" s="243">
        <f>+R484-R485</f>
        <v>0</v>
      </c>
      <c r="T485" s="245"/>
      <c r="U485" s="243">
        <f>+T484-T485</f>
        <v>0</v>
      </c>
      <c r="V485" s="344"/>
      <c r="W485" s="243">
        <f>+V484-V485</f>
        <v>0</v>
      </c>
      <c r="X485" s="245"/>
      <c r="Y485" s="243">
        <f>+X484-X485</f>
        <v>0</v>
      </c>
      <c r="Z485" s="245"/>
      <c r="AA485" s="243">
        <f>+Z484-Z485</f>
        <v>0</v>
      </c>
      <c r="AB485" s="245"/>
      <c r="AC485" s="243">
        <f>+AB484-AB485</f>
        <v>0</v>
      </c>
      <c r="AD485" s="245"/>
      <c r="AE485" s="243">
        <f>+AD484-AD485</f>
        <v>0</v>
      </c>
      <c r="AF485" s="245"/>
      <c r="AG485" s="243">
        <f>+AF484-AF485</f>
        <v>0</v>
      </c>
      <c r="AH485" s="245"/>
      <c r="AI485" s="243">
        <f>+AH484-AH485</f>
        <v>0</v>
      </c>
    </row>
    <row r="486" spans="2:35">
      <c r="B486" s="434" t="s">
        <v>242</v>
      </c>
      <c r="C486" s="435"/>
      <c r="D486" s="237"/>
      <c r="E486" s="243"/>
      <c r="F486" s="237"/>
      <c r="G486" s="243"/>
      <c r="H486" s="237"/>
      <c r="I486" s="243"/>
      <c r="J486" s="237"/>
      <c r="K486" s="243"/>
      <c r="L486" s="237"/>
      <c r="M486" s="243"/>
      <c r="N486" s="237"/>
      <c r="O486" s="243"/>
      <c r="P486" s="237"/>
      <c r="Q486" s="243"/>
      <c r="R486" s="237"/>
      <c r="S486" s="243"/>
      <c r="T486" s="237"/>
      <c r="U486" s="243"/>
      <c r="V486" s="348"/>
      <c r="W486" s="243"/>
      <c r="X486" s="237"/>
      <c r="Y486" s="243"/>
      <c r="Z486" s="237"/>
      <c r="AA486" s="243"/>
      <c r="AB486" s="237"/>
      <c r="AC486" s="243"/>
      <c r="AD486" s="237"/>
      <c r="AE486" s="243"/>
      <c r="AF486" s="237"/>
      <c r="AG486" s="243"/>
      <c r="AH486" s="237"/>
      <c r="AI486" s="243"/>
    </row>
    <row r="487" spans="2:35">
      <c r="B487" s="377" t="s">
        <v>215</v>
      </c>
      <c r="C487" s="438"/>
      <c r="D487" s="237">
        <f>F487+H487+J487+L487+N487+P487+R487+T487+V487+X487+Z487+AB487+AD487+AF487+AH487</f>
        <v>884392461</v>
      </c>
      <c r="E487" s="243"/>
      <c r="F487" s="237"/>
      <c r="G487" s="243"/>
      <c r="H487" s="237"/>
      <c r="I487" s="243"/>
      <c r="J487" s="237">
        <v>834432870</v>
      </c>
      <c r="K487" s="243"/>
      <c r="L487" s="237">
        <v>59591</v>
      </c>
      <c r="M487" s="243"/>
      <c r="N487" s="237"/>
      <c r="O487" s="243"/>
      <c r="P487" s="237"/>
      <c r="Q487" s="243"/>
      <c r="R487" s="237"/>
      <c r="S487" s="243"/>
      <c r="T487" s="237"/>
      <c r="U487" s="243"/>
      <c r="V487" s="348">
        <v>49900000</v>
      </c>
      <c r="W487" s="243"/>
      <c r="X487" s="237"/>
      <c r="Y487" s="243"/>
      <c r="Z487" s="237"/>
      <c r="AA487" s="243"/>
      <c r="AB487" s="237"/>
      <c r="AC487" s="243"/>
      <c r="AD487" s="237"/>
      <c r="AE487" s="243"/>
      <c r="AF487" s="237"/>
      <c r="AG487" s="243"/>
      <c r="AH487" s="237"/>
      <c r="AI487" s="243"/>
    </row>
    <row r="488" spans="2:35" ht="12" thickBot="1">
      <c r="B488" s="364" t="s">
        <v>243</v>
      </c>
      <c r="C488" s="438"/>
      <c r="D488" s="245">
        <f>F488+H488+J488+L488+N488+P488+R488+T488+V488+X488+Z488+AB488+AD488+AF488+AH488</f>
        <v>0</v>
      </c>
      <c r="E488" s="243"/>
      <c r="F488" s="245"/>
      <c r="G488" s="243"/>
      <c r="H488" s="245"/>
      <c r="I488" s="243"/>
      <c r="J488" s="245"/>
      <c r="K488" s="243"/>
      <c r="L488" s="245"/>
      <c r="M488" s="243"/>
      <c r="N488" s="245"/>
      <c r="O488" s="243"/>
      <c r="P488" s="245"/>
      <c r="Q488" s="243"/>
      <c r="R488" s="245"/>
      <c r="S488" s="243"/>
      <c r="T488" s="245"/>
      <c r="U488" s="243"/>
      <c r="V488" s="344"/>
      <c r="W488" s="243"/>
      <c r="X488" s="245"/>
      <c r="Y488" s="243"/>
      <c r="Z488" s="245"/>
      <c r="AA488" s="243"/>
      <c r="AB488" s="245"/>
      <c r="AC488" s="243"/>
      <c r="AD488" s="245"/>
      <c r="AE488" s="243"/>
      <c r="AF488" s="245"/>
      <c r="AG488" s="243"/>
      <c r="AH488" s="245"/>
      <c r="AI488" s="243"/>
    </row>
    <row r="489" spans="2:35" ht="13.5" customHeight="1">
      <c r="B489" s="364" t="s">
        <v>244</v>
      </c>
      <c r="C489" s="438"/>
      <c r="D489" s="237"/>
      <c r="E489" s="243">
        <f>+D487-D488</f>
        <v>884392461</v>
      </c>
      <c r="F489" s="237"/>
      <c r="G489" s="243">
        <f>+F487-F488</f>
        <v>0</v>
      </c>
      <c r="H489" s="237"/>
      <c r="I489" s="243">
        <f>+H487-H488</f>
        <v>0</v>
      </c>
      <c r="J489" s="237"/>
      <c r="K489" s="243">
        <f>+J487-J488</f>
        <v>834432870</v>
      </c>
      <c r="L489" s="237"/>
      <c r="M489" s="243">
        <f>+L487-L488</f>
        <v>59591</v>
      </c>
      <c r="N489" s="237"/>
      <c r="O489" s="243">
        <f>+N487-N488</f>
        <v>0</v>
      </c>
      <c r="P489" s="237"/>
      <c r="Q489" s="243">
        <f>+P487-P488</f>
        <v>0</v>
      </c>
      <c r="R489" s="237"/>
      <c r="S489" s="243">
        <f>+R487-R488</f>
        <v>0</v>
      </c>
      <c r="T489" s="237"/>
      <c r="U489" s="243">
        <f>+T487-T488</f>
        <v>0</v>
      </c>
      <c r="V489" s="348"/>
      <c r="W489" s="243">
        <f>+V487-V488</f>
        <v>49900000</v>
      </c>
      <c r="X489" s="237"/>
      <c r="Y489" s="243">
        <f>+X487-X488</f>
        <v>0</v>
      </c>
      <c r="Z489" s="237"/>
      <c r="AA489" s="243">
        <f>+Z487-Z488</f>
        <v>0</v>
      </c>
      <c r="AB489" s="237"/>
      <c r="AC489" s="243">
        <f>+AB487-AB488</f>
        <v>0</v>
      </c>
      <c r="AD489" s="237"/>
      <c r="AE489" s="243">
        <f>+AD487-AD488</f>
        <v>0</v>
      </c>
      <c r="AF489" s="237"/>
      <c r="AG489" s="243">
        <f>+AF487-AF488</f>
        <v>0</v>
      </c>
      <c r="AH489" s="237"/>
      <c r="AI489" s="243">
        <f>+AH487-AH488</f>
        <v>0</v>
      </c>
    </row>
    <row r="490" spans="2:35">
      <c r="B490" s="377" t="s">
        <v>216</v>
      </c>
      <c r="C490" s="438"/>
      <c r="D490" s="237"/>
      <c r="E490" s="243"/>
      <c r="F490" s="237"/>
      <c r="G490" s="243"/>
      <c r="H490" s="237"/>
      <c r="I490" s="243"/>
      <c r="J490" s="237"/>
      <c r="K490" s="243"/>
      <c r="L490" s="237"/>
      <c r="M490" s="243"/>
      <c r="N490" s="237"/>
      <c r="O490" s="243"/>
      <c r="P490" s="237"/>
      <c r="Q490" s="243"/>
      <c r="R490" s="237"/>
      <c r="S490" s="243"/>
      <c r="T490" s="237"/>
      <c r="U490" s="243"/>
      <c r="V490" s="348"/>
      <c r="W490" s="243"/>
      <c r="X490" s="237"/>
      <c r="Y490" s="243"/>
      <c r="Z490" s="237"/>
      <c r="AA490" s="243"/>
      <c r="AB490" s="237"/>
      <c r="AC490" s="243"/>
      <c r="AD490" s="237"/>
      <c r="AE490" s="243"/>
      <c r="AF490" s="237"/>
      <c r="AG490" s="243"/>
      <c r="AH490" s="237"/>
      <c r="AI490" s="243"/>
    </row>
    <row r="491" spans="2:35">
      <c r="B491" s="364" t="s">
        <v>244</v>
      </c>
      <c r="C491" s="438"/>
      <c r="D491" s="237">
        <f>F491+H491+J491+L491+N491+P491+R491+T491+V491+X491+Z491+AB491+AD491+AF491+AH491</f>
        <v>3210547510</v>
      </c>
      <c r="E491" s="243"/>
      <c r="F491" s="237">
        <v>312847791</v>
      </c>
      <c r="G491" s="243"/>
      <c r="H491" s="237">
        <v>876841</v>
      </c>
      <c r="I491" s="243"/>
      <c r="J491" s="237">
        <v>947464</v>
      </c>
      <c r="K491" s="243"/>
      <c r="L491" s="237">
        <v>651871</v>
      </c>
      <c r="M491" s="243"/>
      <c r="N491" s="237">
        <v>2961061</v>
      </c>
      <c r="O491" s="243"/>
      <c r="P491" s="237">
        <v>373524664</v>
      </c>
      <c r="Q491" s="243"/>
      <c r="R491" s="237">
        <v>298720</v>
      </c>
      <c r="S491" s="243"/>
      <c r="T491" s="237">
        <v>2175292</v>
      </c>
      <c r="U491" s="243"/>
      <c r="V491" s="348">
        <v>1072049914</v>
      </c>
      <c r="W491" s="243"/>
      <c r="X491" s="237">
        <v>2372161</v>
      </c>
      <c r="Y491" s="243"/>
      <c r="Z491" s="237">
        <v>1509678</v>
      </c>
      <c r="AA491" s="243"/>
      <c r="AB491" s="237">
        <f>898233+1</f>
        <v>898234</v>
      </c>
      <c r="AC491" s="243"/>
      <c r="AD491" s="237">
        <v>600777111</v>
      </c>
      <c r="AE491" s="243"/>
      <c r="AF491" s="237">
        <v>838385594</v>
      </c>
      <c r="AG491" s="243"/>
      <c r="AH491" s="237">
        <v>271114</v>
      </c>
      <c r="AI491" s="243"/>
    </row>
    <row r="492" spans="2:35">
      <c r="B492" s="439" t="s">
        <v>245</v>
      </c>
      <c r="C492" s="438"/>
      <c r="D492" s="237">
        <f>F492+H492+J492+L492+N492+P492+R492+T492+V492+X492+Z492+AB492+AD492+AF492+AH492</f>
        <v>5610600917</v>
      </c>
      <c r="E492" s="243"/>
      <c r="F492" s="237">
        <v>-115972750</v>
      </c>
      <c r="G492" s="243"/>
      <c r="H492" s="237">
        <v>5668026</v>
      </c>
      <c r="I492" s="243"/>
      <c r="J492" s="237">
        <v>238693607</v>
      </c>
      <c r="K492" s="243"/>
      <c r="L492" s="237">
        <v>3119713928</v>
      </c>
      <c r="M492" s="243"/>
      <c r="N492" s="237">
        <v>25336599</v>
      </c>
      <c r="O492" s="243"/>
      <c r="P492" s="237">
        <v>349507864</v>
      </c>
      <c r="Q492" s="243"/>
      <c r="R492" s="237">
        <v>9867354</v>
      </c>
      <c r="S492" s="243"/>
      <c r="T492" s="237">
        <v>1288420025</v>
      </c>
      <c r="U492" s="243"/>
      <c r="V492" s="348">
        <f>37885649+60525716</f>
        <v>98411365</v>
      </c>
      <c r="W492" s="243"/>
      <c r="X492" s="237">
        <v>7080048</v>
      </c>
      <c r="Y492" s="243"/>
      <c r="Z492" s="237">
        <v>246732217</v>
      </c>
      <c r="AA492" s="243"/>
      <c r="AB492" s="237">
        <v>17675548</v>
      </c>
      <c r="AC492" s="243"/>
      <c r="AD492" s="237">
        <v>80926677</v>
      </c>
      <c r="AE492" s="243"/>
      <c r="AF492" s="237">
        <v>235409258</v>
      </c>
      <c r="AG492" s="243"/>
      <c r="AH492" s="237">
        <v>3131151</v>
      </c>
      <c r="AI492" s="243"/>
    </row>
    <row r="493" spans="2:35" ht="12" thickBot="1">
      <c r="B493" s="439" t="s">
        <v>246</v>
      </c>
      <c r="C493" s="438"/>
      <c r="D493" s="245">
        <f>F493+H493+J493+L493+N493+P493+R493+T493+V493+X493+Z493+AB493+AD493+AF493+AH493</f>
        <v>274997825</v>
      </c>
      <c r="E493" s="243"/>
      <c r="F493" s="245">
        <v>759491</v>
      </c>
      <c r="G493" s="243"/>
      <c r="H493" s="245">
        <v>139431</v>
      </c>
      <c r="I493" s="243"/>
      <c r="J493" s="245"/>
      <c r="K493" s="243"/>
      <c r="L493" s="245"/>
      <c r="M493" s="243"/>
      <c r="N493" s="245">
        <v>88016</v>
      </c>
      <c r="O493" s="243"/>
      <c r="P493" s="245"/>
      <c r="Q493" s="243"/>
      <c r="R493" s="245"/>
      <c r="S493" s="243"/>
      <c r="T493" s="245">
        <v>15259788</v>
      </c>
      <c r="U493" s="243"/>
      <c r="V493" s="344">
        <v>12305528</v>
      </c>
      <c r="W493" s="243"/>
      <c r="X493" s="245">
        <v>381351</v>
      </c>
      <c r="Y493" s="243"/>
      <c r="Z493" s="245">
        <v>221301</v>
      </c>
      <c r="AA493" s="243"/>
      <c r="AB493" s="245">
        <v>24456944</v>
      </c>
      <c r="AC493" s="243"/>
      <c r="AD493" s="245">
        <v>11844997</v>
      </c>
      <c r="AE493" s="243"/>
      <c r="AF493" s="245">
        <v>209358880</v>
      </c>
      <c r="AG493" s="243"/>
      <c r="AH493" s="245">
        <v>182098</v>
      </c>
      <c r="AI493" s="243"/>
    </row>
    <row r="494" spans="2:35">
      <c r="B494" s="440"/>
      <c r="C494" s="438"/>
      <c r="D494" s="237">
        <f>+SUM(D491:D493)</f>
        <v>9096146252</v>
      </c>
      <c r="E494" s="243"/>
      <c r="F494" s="237">
        <f>+SUM(F491:F493)</f>
        <v>197634532</v>
      </c>
      <c r="G494" s="243"/>
      <c r="H494" s="237">
        <f>+SUM(H491:H493)</f>
        <v>6684298</v>
      </c>
      <c r="I494" s="243"/>
      <c r="J494" s="237">
        <f>+SUM(J491:J493)</f>
        <v>239641071</v>
      </c>
      <c r="K494" s="243"/>
      <c r="L494" s="237">
        <f>+SUM(L491:L493)</f>
        <v>3120365799</v>
      </c>
      <c r="M494" s="243"/>
      <c r="N494" s="237">
        <f>+SUM(N491:N493)</f>
        <v>28385676</v>
      </c>
      <c r="O494" s="243"/>
      <c r="P494" s="237">
        <f>+SUM(P491:P493)</f>
        <v>723032528</v>
      </c>
      <c r="Q494" s="243"/>
      <c r="R494" s="237">
        <f>+SUM(R491:R493)</f>
        <v>10166074</v>
      </c>
      <c r="S494" s="243"/>
      <c r="T494" s="237">
        <f>+SUM(T491:T493)</f>
        <v>1305855105</v>
      </c>
      <c r="U494" s="243"/>
      <c r="V494" s="237">
        <f>+SUM(V491:V493)</f>
        <v>1182766807</v>
      </c>
      <c r="W494" s="243"/>
      <c r="X494" s="237">
        <f>+SUM(X491:X493)</f>
        <v>9833560</v>
      </c>
      <c r="Y494" s="243"/>
      <c r="Z494" s="237">
        <f>+SUM(Z491:Z493)</f>
        <v>248463196</v>
      </c>
      <c r="AA494" s="243"/>
      <c r="AB494" s="237">
        <f>+SUM(AB491:AB493)</f>
        <v>43030726</v>
      </c>
      <c r="AC494" s="243"/>
      <c r="AD494" s="237">
        <f>+SUM(AD491:AD493)</f>
        <v>693548785</v>
      </c>
      <c r="AE494" s="243"/>
      <c r="AF494" s="237">
        <f>+SUM(AF491:AF493)</f>
        <v>1283153732</v>
      </c>
      <c r="AG494" s="243"/>
      <c r="AH494" s="237">
        <f>+SUM(AH491:AH493)</f>
        <v>3584363</v>
      </c>
      <c r="AI494" s="243"/>
    </row>
    <row r="495" spans="2:35" ht="21.75" thickBot="1">
      <c r="B495" s="364" t="s">
        <v>210</v>
      </c>
      <c r="C495" s="437"/>
      <c r="D495" s="245">
        <f>F495+H495+J495+L495+N495+P495+R495+T495+V495+X495+Z495+AB495+AD495+AF495+AH495</f>
        <v>274997825</v>
      </c>
      <c r="E495" s="243">
        <f>+D494-D495</f>
        <v>8821148427</v>
      </c>
      <c r="F495" s="245">
        <f>F493</f>
        <v>759491</v>
      </c>
      <c r="G495" s="243">
        <f>+F494-F495</f>
        <v>196875041</v>
      </c>
      <c r="H495" s="245">
        <f>H493</f>
        <v>139431</v>
      </c>
      <c r="I495" s="243">
        <f>+H494-H495</f>
        <v>6544867</v>
      </c>
      <c r="J495" s="245">
        <f>J493</f>
        <v>0</v>
      </c>
      <c r="K495" s="243">
        <f>+J494-J495</f>
        <v>239641071</v>
      </c>
      <c r="L495" s="245"/>
      <c r="M495" s="243">
        <f>+L494-L495</f>
        <v>3120365799</v>
      </c>
      <c r="N495" s="245">
        <f>N493</f>
        <v>88016</v>
      </c>
      <c r="O495" s="243">
        <f>+N494-N495</f>
        <v>28297660</v>
      </c>
      <c r="P495" s="245"/>
      <c r="Q495" s="243">
        <f>+P494-P495</f>
        <v>723032528</v>
      </c>
      <c r="R495" s="245"/>
      <c r="S495" s="243">
        <f>+R494-R495</f>
        <v>10166074</v>
      </c>
      <c r="T495" s="245">
        <f>T493</f>
        <v>15259788</v>
      </c>
      <c r="U495" s="243">
        <f>+T494-T495</f>
        <v>1290595317</v>
      </c>
      <c r="V495" s="344">
        <f>V493</f>
        <v>12305528</v>
      </c>
      <c r="W495" s="243">
        <f>+V494-V495</f>
        <v>1170461279</v>
      </c>
      <c r="X495" s="245">
        <f>X493</f>
        <v>381351</v>
      </c>
      <c r="Y495" s="243">
        <f>+X494-X495</f>
        <v>9452209</v>
      </c>
      <c r="Z495" s="245">
        <f>Z493</f>
        <v>221301</v>
      </c>
      <c r="AA495" s="243">
        <f>+Z494-Z495</f>
        <v>248241895</v>
      </c>
      <c r="AB495" s="245">
        <f>AB493</f>
        <v>24456944</v>
      </c>
      <c r="AC495" s="243">
        <f>+AB494-AB495</f>
        <v>18573782</v>
      </c>
      <c r="AD495" s="245">
        <f>AD493</f>
        <v>11844997</v>
      </c>
      <c r="AE495" s="243">
        <f>+AD494-AD495</f>
        <v>681703788</v>
      </c>
      <c r="AF495" s="245">
        <f>AF493</f>
        <v>209358880</v>
      </c>
      <c r="AG495" s="243">
        <f>+AF494-AF495</f>
        <v>1073794852</v>
      </c>
      <c r="AH495" s="245">
        <f>AH493</f>
        <v>182098</v>
      </c>
      <c r="AI495" s="243">
        <f>+AH494-AH495</f>
        <v>3402265</v>
      </c>
    </row>
    <row r="496" spans="2:35">
      <c r="B496" s="364"/>
      <c r="C496" s="438"/>
      <c r="D496" s="237"/>
      <c r="E496" s="243"/>
      <c r="F496" s="237"/>
      <c r="G496" s="243"/>
      <c r="H496" s="237"/>
      <c r="I496" s="243"/>
      <c r="J496" s="237"/>
      <c r="K496" s="243"/>
      <c r="L496" s="237"/>
      <c r="M496" s="243"/>
      <c r="N496" s="237"/>
      <c r="O496" s="243"/>
      <c r="P496" s="237"/>
      <c r="Q496" s="243"/>
      <c r="R496" s="237"/>
      <c r="S496" s="243"/>
      <c r="T496" s="237"/>
      <c r="U496" s="243"/>
      <c r="V496" s="348"/>
      <c r="W496" s="243"/>
      <c r="X496" s="237"/>
      <c r="Y496" s="243"/>
      <c r="Z496" s="237"/>
      <c r="AA496" s="243"/>
      <c r="AB496" s="237"/>
      <c r="AC496" s="243"/>
      <c r="AD496" s="237"/>
      <c r="AE496" s="243"/>
      <c r="AF496" s="237"/>
      <c r="AG496" s="243"/>
      <c r="AH496" s="237"/>
      <c r="AI496" s="243"/>
    </row>
    <row r="497" spans="2:35">
      <c r="B497" s="377" t="s">
        <v>217</v>
      </c>
      <c r="C497" s="438"/>
      <c r="D497" s="237"/>
      <c r="E497" s="243"/>
      <c r="F497" s="237"/>
      <c r="G497" s="243"/>
      <c r="H497" s="237"/>
      <c r="I497" s="243"/>
      <c r="J497" s="237"/>
      <c r="K497" s="243"/>
      <c r="L497" s="237"/>
      <c r="M497" s="243"/>
      <c r="N497" s="237"/>
      <c r="O497" s="243"/>
      <c r="P497" s="237"/>
      <c r="Q497" s="243"/>
      <c r="R497" s="237"/>
      <c r="S497" s="243"/>
      <c r="T497" s="237"/>
      <c r="U497" s="243"/>
      <c r="V497" s="348"/>
      <c r="W497" s="243"/>
      <c r="X497" s="237"/>
      <c r="Y497" s="243"/>
      <c r="Z497" s="237"/>
      <c r="AA497" s="243"/>
      <c r="AB497" s="237"/>
      <c r="AC497" s="243"/>
      <c r="AD497" s="237"/>
      <c r="AE497" s="243"/>
      <c r="AF497" s="237"/>
      <c r="AG497" s="243"/>
      <c r="AH497" s="237"/>
      <c r="AI497" s="243"/>
    </row>
    <row r="498" spans="2:35">
      <c r="B498" s="439" t="s">
        <v>213</v>
      </c>
      <c r="C498" s="438"/>
      <c r="D498" s="237">
        <f>F498+H498+J498+L498+N498+P498+R498+T498+V498+X498+Z498+AB498+AD498+AF498+AH498</f>
        <v>0</v>
      </c>
      <c r="E498" s="243"/>
      <c r="F498" s="237"/>
      <c r="G498" s="243"/>
      <c r="H498" s="237"/>
      <c r="I498" s="243"/>
      <c r="J498" s="237"/>
      <c r="K498" s="243"/>
      <c r="L498" s="237"/>
      <c r="M498" s="243"/>
      <c r="N498" s="237"/>
      <c r="O498" s="243"/>
      <c r="P498" s="237"/>
      <c r="Q498" s="243"/>
      <c r="R498" s="237"/>
      <c r="S498" s="243"/>
      <c r="T498" s="237"/>
      <c r="U498" s="243"/>
      <c r="V498" s="348"/>
      <c r="W498" s="243"/>
      <c r="X498" s="237"/>
      <c r="Y498" s="243"/>
      <c r="Z498" s="237"/>
      <c r="AA498" s="243"/>
      <c r="AB498" s="237"/>
      <c r="AC498" s="243"/>
      <c r="AD498" s="237"/>
      <c r="AE498" s="243"/>
      <c r="AF498" s="237"/>
      <c r="AG498" s="243"/>
      <c r="AH498" s="237"/>
      <c r="AI498" s="243"/>
    </row>
    <row r="499" spans="2:35">
      <c r="B499" s="439" t="s">
        <v>212</v>
      </c>
      <c r="C499" s="438"/>
      <c r="D499" s="237">
        <f>F499+H499+J499+L499+N499+P499+R499+T499+V499+X499+Z499+AB499+AD499+AF499+AH499</f>
        <v>230940676</v>
      </c>
      <c r="E499" s="243"/>
      <c r="F499" s="237">
        <v>18353016</v>
      </c>
      <c r="G499" s="243"/>
      <c r="H499" s="237">
        <v>1280924</v>
      </c>
      <c r="I499" s="243"/>
      <c r="J499" s="237">
        <v>583449</v>
      </c>
      <c r="K499" s="243"/>
      <c r="L499" s="237">
        <v>37518692</v>
      </c>
      <c r="M499" s="243"/>
      <c r="N499" s="237"/>
      <c r="O499" s="243"/>
      <c r="P499" s="237"/>
      <c r="Q499" s="243"/>
      <c r="R499" s="237"/>
      <c r="S499" s="243"/>
      <c r="T499" s="237">
        <v>39603399</v>
      </c>
      <c r="U499" s="243"/>
      <c r="V499" s="348">
        <v>74321135</v>
      </c>
      <c r="W499" s="243"/>
      <c r="X499" s="237">
        <v>31917</v>
      </c>
      <c r="Y499" s="243"/>
      <c r="Z499" s="237">
        <v>56862569</v>
      </c>
      <c r="AA499" s="243"/>
      <c r="AB499" s="237"/>
      <c r="AC499" s="243"/>
      <c r="AD499" s="237">
        <v>2385575</v>
      </c>
      <c r="AE499" s="243"/>
      <c r="AF499" s="237"/>
      <c r="AG499" s="243"/>
      <c r="AH499" s="237"/>
      <c r="AI499" s="243"/>
    </row>
    <row r="500" spans="2:35" ht="12" thickBot="1">
      <c r="B500" s="439" t="s">
        <v>214</v>
      </c>
      <c r="C500" s="438"/>
      <c r="D500" s="245">
        <f>F500+H500+J500+L500+N500+P500+R500+T500+V500+X500+Z500+AB500+AD500+AF500+AH500</f>
        <v>35163364</v>
      </c>
      <c r="E500" s="243"/>
      <c r="F500" s="245"/>
      <c r="G500" s="243"/>
      <c r="H500" s="245"/>
      <c r="I500" s="243"/>
      <c r="J500" s="245"/>
      <c r="K500" s="243"/>
      <c r="L500" s="245"/>
      <c r="M500" s="243"/>
      <c r="N500" s="245"/>
      <c r="O500" s="243"/>
      <c r="P500" s="245"/>
      <c r="Q500" s="243"/>
      <c r="R500" s="245"/>
      <c r="S500" s="243"/>
      <c r="T500" s="245">
        <v>685052</v>
      </c>
      <c r="U500" s="243"/>
      <c r="V500" s="344"/>
      <c r="W500" s="243"/>
      <c r="X500" s="245"/>
      <c r="Y500" s="243"/>
      <c r="Z500" s="245">
        <v>0</v>
      </c>
      <c r="AA500" s="243"/>
      <c r="AB500" s="245"/>
      <c r="AC500" s="243"/>
      <c r="AD500" s="245">
        <v>34478312</v>
      </c>
      <c r="AE500" s="243"/>
      <c r="AF500" s="245"/>
      <c r="AG500" s="243"/>
      <c r="AH500" s="245"/>
      <c r="AI500" s="243"/>
    </row>
    <row r="501" spans="2:35">
      <c r="B501" s="440"/>
      <c r="C501" s="438"/>
      <c r="D501" s="237">
        <f>+SUM(D498:D500)</f>
        <v>266104040</v>
      </c>
      <c r="E501" s="243"/>
      <c r="F501" s="237">
        <f>+SUM(F498:F500)</f>
        <v>18353016</v>
      </c>
      <c r="G501" s="243"/>
      <c r="H501" s="237">
        <f>+SUM(H498:H500)</f>
        <v>1280924</v>
      </c>
      <c r="I501" s="243"/>
      <c r="J501" s="237">
        <f>+SUM(J498:J500)</f>
        <v>583449</v>
      </c>
      <c r="K501" s="243"/>
      <c r="L501" s="237">
        <f>+SUM(L498:L500)</f>
        <v>37518692</v>
      </c>
      <c r="M501" s="243"/>
      <c r="N501" s="237">
        <f>+SUM(N498:N500)</f>
        <v>0</v>
      </c>
      <c r="O501" s="243"/>
      <c r="P501" s="237">
        <f>+SUM(P498:P500)</f>
        <v>0</v>
      </c>
      <c r="Q501" s="243"/>
      <c r="R501" s="237">
        <f>+SUM(R498:R500)</f>
        <v>0</v>
      </c>
      <c r="S501" s="243"/>
      <c r="T501" s="237">
        <f>+SUM(T498:T500)</f>
        <v>40288451</v>
      </c>
      <c r="U501" s="243"/>
      <c r="V501" s="237">
        <f>+SUM(V498:V500)</f>
        <v>74321135</v>
      </c>
      <c r="W501" s="243"/>
      <c r="X501" s="237">
        <f>+SUM(X498:X500)</f>
        <v>31917</v>
      </c>
      <c r="Y501" s="243"/>
      <c r="Z501" s="237">
        <f>+SUM(Z498:Z500)</f>
        <v>56862569</v>
      </c>
      <c r="AA501" s="243"/>
      <c r="AB501" s="237">
        <f>+SUM(AB498:AB500)</f>
        <v>0</v>
      </c>
      <c r="AC501" s="243"/>
      <c r="AD501" s="237">
        <f>+SUM(AD498:AD500)</f>
        <v>36863887</v>
      </c>
      <c r="AE501" s="243"/>
      <c r="AF501" s="237">
        <f>+SUM(AF498:AF500)</f>
        <v>0</v>
      </c>
      <c r="AG501" s="243"/>
      <c r="AH501" s="237">
        <f>+SUM(AH498:AH500)</f>
        <v>0</v>
      </c>
      <c r="AI501" s="243"/>
    </row>
    <row r="502" spans="2:35" ht="21.75" thickBot="1">
      <c r="B502" s="364" t="s">
        <v>210</v>
      </c>
      <c r="C502" s="437"/>
      <c r="D502" s="245">
        <f>F502+H502+J502+L502+N502+P502+R502+T502+V502+X502+Z502+AB502+AD502+AF502+AH502</f>
        <v>35163364</v>
      </c>
      <c r="E502" s="243">
        <f>+D501-D502</f>
        <v>230940676</v>
      </c>
      <c r="F502" s="245">
        <f>F500</f>
        <v>0</v>
      </c>
      <c r="G502" s="243">
        <f>+F501-F502</f>
        <v>18353016</v>
      </c>
      <c r="H502" s="245"/>
      <c r="I502" s="243">
        <f>+H501-H502</f>
        <v>1280924</v>
      </c>
      <c r="J502" s="245">
        <f>J500</f>
        <v>0</v>
      </c>
      <c r="K502" s="243">
        <f>+J501-J502</f>
        <v>583449</v>
      </c>
      <c r="L502" s="245"/>
      <c r="M502" s="243">
        <f>+L501-L502</f>
        <v>37518692</v>
      </c>
      <c r="N502" s="245">
        <f>N500</f>
        <v>0</v>
      </c>
      <c r="O502" s="243">
        <f>+N501-N502</f>
        <v>0</v>
      </c>
      <c r="P502" s="245"/>
      <c r="Q502" s="243">
        <f>+P501-P502</f>
        <v>0</v>
      </c>
      <c r="R502" s="245"/>
      <c r="S502" s="243">
        <f>+R501-R502</f>
        <v>0</v>
      </c>
      <c r="T502" s="245">
        <f>T500</f>
        <v>685052</v>
      </c>
      <c r="U502" s="243">
        <f>+T501-T502</f>
        <v>39603399</v>
      </c>
      <c r="V502" s="344"/>
      <c r="W502" s="243">
        <f>+V501-V502</f>
        <v>74321135</v>
      </c>
      <c r="X502" s="245"/>
      <c r="Y502" s="243">
        <f>+X501-X502</f>
        <v>31917</v>
      </c>
      <c r="Z502" s="245">
        <f>Z500</f>
        <v>0</v>
      </c>
      <c r="AA502" s="243">
        <f>+Z501-Z502</f>
        <v>56862569</v>
      </c>
      <c r="AB502" s="245"/>
      <c r="AC502" s="243">
        <f>+AB501-AB502</f>
        <v>0</v>
      </c>
      <c r="AD502" s="245">
        <f>AD500</f>
        <v>34478312</v>
      </c>
      <c r="AE502" s="243">
        <f>+AD501-AD502</f>
        <v>2385575</v>
      </c>
      <c r="AF502" s="245">
        <f>AF500</f>
        <v>0</v>
      </c>
      <c r="AG502" s="243">
        <f>+AF501-AF502</f>
        <v>0</v>
      </c>
      <c r="AH502" s="245"/>
      <c r="AI502" s="243">
        <f>+AH501-AH502</f>
        <v>0</v>
      </c>
    </row>
    <row r="503" spans="2:35" ht="21.75">
      <c r="B503" s="377" t="s">
        <v>218</v>
      </c>
      <c r="C503" s="441"/>
      <c r="D503" s="237"/>
      <c r="E503" s="243"/>
      <c r="F503" s="237"/>
      <c r="G503" s="243"/>
      <c r="H503" s="237"/>
      <c r="I503" s="243"/>
      <c r="J503" s="237"/>
      <c r="K503" s="243"/>
      <c r="L503" s="237"/>
      <c r="M503" s="243"/>
      <c r="N503" s="237"/>
      <c r="O503" s="243"/>
      <c r="P503" s="237"/>
      <c r="Q503" s="243"/>
      <c r="R503" s="237"/>
      <c r="S503" s="243"/>
      <c r="T503" s="490"/>
      <c r="U503" s="493"/>
      <c r="V503" s="348"/>
      <c r="W503" s="243"/>
      <c r="X503" s="237"/>
      <c r="Y503" s="243"/>
      <c r="Z503" s="237"/>
      <c r="AA503" s="243"/>
      <c r="AB503" s="237"/>
      <c r="AC503" s="243"/>
      <c r="AD503" s="237"/>
      <c r="AE503" s="243"/>
      <c r="AF503" s="237"/>
      <c r="AG503" s="243"/>
      <c r="AH503" s="237"/>
      <c r="AI503" s="243"/>
    </row>
    <row r="504" spans="2:35">
      <c r="B504" s="439" t="s">
        <v>212</v>
      </c>
      <c r="C504" s="438"/>
      <c r="D504" s="237"/>
      <c r="E504" s="243">
        <f>G504+I504+K504+M504+O504+Q504+S504+U504+W504+Y504+AA504+AC504+AE504+AG504+AI504</f>
        <v>1205035931</v>
      </c>
      <c r="F504" s="237"/>
      <c r="G504" s="243">
        <v>1204710699</v>
      </c>
      <c r="H504" s="237"/>
      <c r="I504" s="243"/>
      <c r="J504" s="237"/>
      <c r="K504" s="243"/>
      <c r="L504" s="237"/>
      <c r="M504" s="243">
        <v>249040</v>
      </c>
      <c r="N504" s="237"/>
      <c r="O504" s="243"/>
      <c r="P504" s="237"/>
      <c r="Q504" s="243"/>
      <c r="R504" s="237"/>
      <c r="S504" s="243"/>
      <c r="T504" s="237"/>
      <c r="U504" s="243"/>
      <c r="V504" s="348"/>
      <c r="W504" s="243"/>
      <c r="X504" s="237"/>
      <c r="Y504" s="243">
        <v>8890</v>
      </c>
      <c r="Z504" s="237"/>
      <c r="AA504" s="243"/>
      <c r="AB504" s="237"/>
      <c r="AC504" s="243">
        <v>67302</v>
      </c>
      <c r="AD504" s="237"/>
      <c r="AE504" s="243"/>
      <c r="AF504" s="237"/>
      <c r="AG504" s="243"/>
      <c r="AH504" s="237"/>
      <c r="AI504" s="243"/>
    </row>
    <row r="505" spans="2:35">
      <c r="B505" s="345"/>
      <c r="C505" s="435"/>
      <c r="D505" s="237"/>
      <c r="E505" s="243"/>
      <c r="F505" s="237"/>
      <c r="G505" s="243"/>
      <c r="H505" s="237"/>
      <c r="I505" s="243"/>
      <c r="J505" s="237"/>
      <c r="K505" s="243"/>
      <c r="L505" s="237"/>
      <c r="M505" s="243"/>
      <c r="N505" s="237"/>
      <c r="O505" s="243"/>
      <c r="P505" s="237"/>
      <c r="Q505" s="243"/>
      <c r="R505" s="237"/>
      <c r="S505" s="243"/>
      <c r="T505" s="237"/>
      <c r="U505" s="243"/>
      <c r="V505" s="348"/>
      <c r="W505" s="243"/>
      <c r="X505" s="237"/>
      <c r="Y505" s="243"/>
      <c r="Z505" s="237"/>
      <c r="AA505" s="243"/>
      <c r="AB505" s="237"/>
      <c r="AC505" s="243"/>
      <c r="AD505" s="237"/>
      <c r="AE505" s="243"/>
      <c r="AF505" s="237"/>
      <c r="AG505" s="243"/>
      <c r="AH505" s="237"/>
      <c r="AI505" s="243"/>
    </row>
    <row r="506" spans="2:35" ht="12" thickBot="1">
      <c r="B506" s="665" t="s">
        <v>806</v>
      </c>
      <c r="C506" s="442"/>
      <c r="D506" s="245"/>
      <c r="E506" s="252">
        <f>SUM(E480:E505)</f>
        <v>11141517495</v>
      </c>
      <c r="F506" s="245"/>
      <c r="G506" s="252">
        <f>SUM(G480:G505)</f>
        <v>1419938756</v>
      </c>
      <c r="H506" s="245"/>
      <c r="I506" s="252">
        <f>SUM(I480:I505)</f>
        <v>7825791</v>
      </c>
      <c r="J506" s="245"/>
      <c r="K506" s="252">
        <f>SUM(K480:K505)</f>
        <v>1074657390</v>
      </c>
      <c r="L506" s="245"/>
      <c r="M506" s="252">
        <f>SUM(M480:M505)</f>
        <v>3158193122</v>
      </c>
      <c r="N506" s="245"/>
      <c r="O506" s="252">
        <f>SUM(O480:O505)</f>
        <v>28297660</v>
      </c>
      <c r="P506" s="245"/>
      <c r="Q506" s="252">
        <f>SUM(Q480:Q505)</f>
        <v>723032528</v>
      </c>
      <c r="R506" s="245"/>
      <c r="S506" s="252">
        <f>SUM(S480:S505)</f>
        <v>10166074</v>
      </c>
      <c r="T506" s="245"/>
      <c r="U506" s="252">
        <f>SUM(U480:U505)</f>
        <v>1330198716</v>
      </c>
      <c r="V506" s="344"/>
      <c r="W506" s="252">
        <f>SUM(W480:W505)</f>
        <v>1294682414</v>
      </c>
      <c r="X506" s="245"/>
      <c r="Y506" s="252">
        <f>SUM(Y480:Y505)</f>
        <v>9493016</v>
      </c>
      <c r="Z506" s="245"/>
      <c r="AA506" s="252">
        <f>SUM(AA480:AA505)</f>
        <v>305104464</v>
      </c>
      <c r="AB506" s="245"/>
      <c r="AC506" s="252">
        <f>SUM(AC480:AC505)</f>
        <v>18641084</v>
      </c>
      <c r="AD506" s="245"/>
      <c r="AE506" s="252">
        <f>SUM(AE480:AE505)</f>
        <v>684089363</v>
      </c>
      <c r="AF506" s="245"/>
      <c r="AG506" s="252">
        <f>SUM(AG480:AG505)</f>
        <v>1073794852</v>
      </c>
      <c r="AH506" s="245"/>
      <c r="AI506" s="252">
        <f>SUM(AI480:AI505)</f>
        <v>3402265</v>
      </c>
    </row>
    <row r="508" spans="2:35" ht="35.25" hidden="1" customHeight="1">
      <c r="B508" s="1480" t="s">
        <v>931</v>
      </c>
      <c r="C508" s="1480"/>
      <c r="D508" s="1480"/>
      <c r="E508" s="1480"/>
      <c r="F508" s="1480"/>
      <c r="G508" s="1480"/>
    </row>
    <row r="510" spans="2:35">
      <c r="B510" s="1469" t="s">
        <v>249</v>
      </c>
      <c r="C510" s="1471"/>
      <c r="D510" s="1471"/>
      <c r="E510" s="1471"/>
      <c r="F510" s="1471"/>
      <c r="G510" s="1471"/>
    </row>
    <row r="512" spans="2:35" ht="12" thickBot="1">
      <c r="G512" s="335" t="s">
        <v>247</v>
      </c>
    </row>
    <row r="513" spans="2:35" ht="12" thickBot="1">
      <c r="B513" s="425"/>
      <c r="C513" s="274"/>
      <c r="D513" s="1463" t="s">
        <v>860</v>
      </c>
      <c r="E513" s="1464"/>
      <c r="F513" s="1463" t="s">
        <v>17</v>
      </c>
      <c r="G513" s="1464"/>
      <c r="H513" s="1463" t="s">
        <v>18</v>
      </c>
      <c r="I513" s="1464"/>
      <c r="J513" s="1463" t="s">
        <v>19</v>
      </c>
      <c r="K513" s="1464"/>
      <c r="L513" s="1463" t="s">
        <v>20</v>
      </c>
      <c r="M513" s="1464"/>
      <c r="N513" s="1463" t="s">
        <v>21</v>
      </c>
      <c r="O513" s="1464"/>
      <c r="P513" s="1463" t="s">
        <v>22</v>
      </c>
      <c r="Q513" s="1464"/>
      <c r="R513" s="1463" t="s">
        <v>23</v>
      </c>
      <c r="S513" s="1464"/>
      <c r="T513" s="1463" t="s">
        <v>24</v>
      </c>
      <c r="U513" s="1464"/>
      <c r="V513" s="1463" t="s">
        <v>25</v>
      </c>
      <c r="W513" s="1464"/>
      <c r="X513" s="1463" t="s">
        <v>26</v>
      </c>
      <c r="Y513" s="1464"/>
      <c r="Z513" s="1463" t="s">
        <v>27</v>
      </c>
      <c r="AA513" s="1464"/>
      <c r="AB513" s="1463" t="s">
        <v>28</v>
      </c>
      <c r="AC513" s="1464"/>
      <c r="AD513" s="1463" t="s">
        <v>29</v>
      </c>
      <c r="AE513" s="1464"/>
      <c r="AF513" s="1463" t="s">
        <v>30</v>
      </c>
      <c r="AG513" s="1464"/>
      <c r="AH513" s="1463" t="s">
        <v>31</v>
      </c>
      <c r="AI513" s="1464"/>
    </row>
    <row r="514" spans="2:35">
      <c r="B514" s="351" t="s">
        <v>250</v>
      </c>
      <c r="C514" s="251"/>
      <c r="D514" s="249">
        <f>F514+H514+J514+L514+N514+P514+R514+T514+V514+X514+Z514+AB514+AD514+AF514+AH514</f>
        <v>304223024</v>
      </c>
      <c r="E514" s="250"/>
      <c r="F514" s="251">
        <v>275015307</v>
      </c>
      <c r="G514" s="250"/>
      <c r="H514" s="251"/>
      <c r="I514" s="250"/>
      <c r="J514" s="251"/>
      <c r="K514" s="250"/>
      <c r="L514" s="251">
        <v>179829</v>
      </c>
      <c r="M514" s="250"/>
      <c r="N514" s="251"/>
      <c r="O514" s="250"/>
      <c r="P514" s="251"/>
      <c r="Q514" s="250"/>
      <c r="R514" s="251"/>
      <c r="S514" s="250"/>
      <c r="T514" s="251">
        <v>24577999</v>
      </c>
      <c r="U514" s="250"/>
      <c r="V514" s="427">
        <v>980348</v>
      </c>
      <c r="W514" s="250"/>
      <c r="X514" s="251"/>
      <c r="Y514" s="250"/>
      <c r="Z514" s="251"/>
      <c r="AA514" s="250"/>
      <c r="AB514" s="251"/>
      <c r="AC514" s="250"/>
      <c r="AD514" s="251"/>
      <c r="AE514" s="250"/>
      <c r="AF514" s="251">
        <v>3469541</v>
      </c>
      <c r="AG514" s="250"/>
      <c r="AH514" s="251"/>
      <c r="AI514" s="250"/>
    </row>
    <row r="515" spans="2:35" ht="21.75" thickBot="1">
      <c r="B515" s="783" t="s">
        <v>14</v>
      </c>
      <c r="C515" s="244"/>
      <c r="D515" s="245">
        <f>F515+H515+J515+L515+N515+P515+R515+T515+V515+X515+Z515+AB515+AD515+AF515+AH515</f>
        <v>1435091263</v>
      </c>
      <c r="E515" s="243"/>
      <c r="F515" s="245"/>
      <c r="G515" s="243">
        <v>0</v>
      </c>
      <c r="H515" s="245"/>
      <c r="I515" s="243">
        <v>0</v>
      </c>
      <c r="J515" s="245"/>
      <c r="K515" s="243">
        <v>0</v>
      </c>
      <c r="L515" s="245"/>
      <c r="M515" s="243">
        <v>0</v>
      </c>
      <c r="N515" s="244"/>
      <c r="O515" s="243"/>
      <c r="P515" s="245">
        <v>41775078</v>
      </c>
      <c r="Q515" s="243">
        <v>0</v>
      </c>
      <c r="R515" s="245">
        <v>97150902</v>
      </c>
      <c r="S515" s="243">
        <v>0</v>
      </c>
      <c r="T515" s="245"/>
      <c r="U515" s="243">
        <v>0</v>
      </c>
      <c r="V515" s="344">
        <v>186102582</v>
      </c>
      <c r="W515" s="243">
        <v>0</v>
      </c>
      <c r="X515" s="245">
        <v>73735276</v>
      </c>
      <c r="Y515" s="243">
        <v>0</v>
      </c>
      <c r="Z515" s="245">
        <v>167221202</v>
      </c>
      <c r="AA515" s="243">
        <v>0</v>
      </c>
      <c r="AB515" s="245"/>
      <c r="AC515" s="243">
        <v>0</v>
      </c>
      <c r="AD515" s="245">
        <v>869106223</v>
      </c>
      <c r="AE515" s="243">
        <v>0</v>
      </c>
      <c r="AF515" s="245"/>
      <c r="AG515" s="243">
        <v>0</v>
      </c>
      <c r="AH515" s="244"/>
      <c r="AI515" s="243"/>
    </row>
    <row r="516" spans="2:35">
      <c r="B516" s="327"/>
      <c r="C516" s="244"/>
      <c r="D516" s="237">
        <f>+D514+D515</f>
        <v>1739314287</v>
      </c>
      <c r="E516" s="243"/>
      <c r="F516" s="237">
        <f>+F514+F515</f>
        <v>275015307</v>
      </c>
      <c r="G516" s="243"/>
      <c r="H516" s="237">
        <f>+H514+H515</f>
        <v>0</v>
      </c>
      <c r="I516" s="243"/>
      <c r="J516" s="237">
        <f>+J514+J515</f>
        <v>0</v>
      </c>
      <c r="K516" s="243"/>
      <c r="L516" s="237">
        <f>+L514+L515</f>
        <v>179829</v>
      </c>
      <c r="M516" s="243"/>
      <c r="N516" s="237">
        <f>+N514+N515</f>
        <v>0</v>
      </c>
      <c r="O516" s="243"/>
      <c r="P516" s="237">
        <f>+P514+P515</f>
        <v>41775078</v>
      </c>
      <c r="Q516" s="243"/>
      <c r="R516" s="237">
        <f>+R514+R515</f>
        <v>97150902</v>
      </c>
      <c r="S516" s="243"/>
      <c r="T516" s="237">
        <f>+T514+T515</f>
        <v>24577999</v>
      </c>
      <c r="U516" s="243"/>
      <c r="V516" s="348">
        <f>+V514+V515</f>
        <v>187082930</v>
      </c>
      <c r="W516" s="243"/>
      <c r="X516" s="237">
        <f>+X514+X515</f>
        <v>73735276</v>
      </c>
      <c r="Y516" s="243"/>
      <c r="Z516" s="237">
        <f>+Z514+Z515</f>
        <v>167221202</v>
      </c>
      <c r="AA516" s="243"/>
      <c r="AB516" s="237">
        <f>+AB514+AB515</f>
        <v>0</v>
      </c>
      <c r="AC516" s="243"/>
      <c r="AD516" s="237">
        <f>+AD514+AD515</f>
        <v>869106223</v>
      </c>
      <c r="AE516" s="243"/>
      <c r="AF516" s="237">
        <f>+AF514+AF515</f>
        <v>3469541</v>
      </c>
      <c r="AG516" s="243"/>
      <c r="AH516" s="237">
        <f>+AH514+AH515</f>
        <v>0</v>
      </c>
      <c r="AI516" s="243"/>
    </row>
    <row r="517" spans="2:35" ht="12" thickBot="1">
      <c r="B517" s="327" t="s">
        <v>251</v>
      </c>
      <c r="C517" s="244"/>
      <c r="D517" s="245">
        <f>F517+H517+J517+L517+N517+P517+R517+T517+V517+X517+Z517+AB517+AD517+AF517+AH517</f>
        <v>0</v>
      </c>
      <c r="E517" s="243">
        <f>+D516-D517</f>
        <v>1739314287</v>
      </c>
      <c r="F517" s="245"/>
      <c r="G517" s="243">
        <f>+F516-F517</f>
        <v>275015307</v>
      </c>
      <c r="H517" s="245"/>
      <c r="I517" s="243">
        <f>+H516-H517</f>
        <v>0</v>
      </c>
      <c r="J517" s="245"/>
      <c r="K517" s="243">
        <f>+J516-J517</f>
        <v>0</v>
      </c>
      <c r="L517" s="245"/>
      <c r="M517" s="243">
        <f>+L516-L517</f>
        <v>179829</v>
      </c>
      <c r="N517" s="245"/>
      <c r="O517" s="243">
        <f>+N516-N517</f>
        <v>0</v>
      </c>
      <c r="P517" s="245"/>
      <c r="Q517" s="243">
        <f>+P516-P517</f>
        <v>41775078</v>
      </c>
      <c r="R517" s="245"/>
      <c r="S517" s="243">
        <f>+R516-R517</f>
        <v>97150902</v>
      </c>
      <c r="T517" s="245"/>
      <c r="U517" s="243">
        <f>+T516-T517</f>
        <v>24577999</v>
      </c>
      <c r="V517" s="344"/>
      <c r="W517" s="243">
        <f>+V516-V517</f>
        <v>187082930</v>
      </c>
      <c r="X517" s="245"/>
      <c r="Y517" s="243">
        <f>+X516-X517</f>
        <v>73735276</v>
      </c>
      <c r="Z517" s="245"/>
      <c r="AA517" s="243">
        <f>+Z516-Z517</f>
        <v>167221202</v>
      </c>
      <c r="AB517" s="245"/>
      <c r="AC517" s="243">
        <f>+AB516-AB517</f>
        <v>0</v>
      </c>
      <c r="AD517" s="245"/>
      <c r="AE517" s="243">
        <f>+AD516-AD517</f>
        <v>869106223</v>
      </c>
      <c r="AF517" s="245"/>
      <c r="AG517" s="243">
        <f>+AF516-AF517</f>
        <v>3469541</v>
      </c>
      <c r="AH517" s="245"/>
      <c r="AI517" s="243">
        <f>+AH516-AH517</f>
        <v>0</v>
      </c>
    </row>
    <row r="518" spans="2:35">
      <c r="B518" s="327"/>
      <c r="C518" s="244"/>
      <c r="D518" s="237"/>
      <c r="E518" s="243"/>
      <c r="F518" s="237"/>
      <c r="G518" s="243"/>
      <c r="H518" s="237"/>
      <c r="I518" s="243"/>
      <c r="J518" s="237"/>
      <c r="K518" s="243"/>
      <c r="L518" s="237"/>
      <c r="M518" s="243"/>
      <c r="N518" s="237"/>
      <c r="O518" s="243"/>
      <c r="P518" s="237"/>
      <c r="Q518" s="243"/>
      <c r="R518" s="237"/>
      <c r="S518" s="243"/>
      <c r="T518" s="237"/>
      <c r="U518" s="243"/>
      <c r="V518" s="348"/>
      <c r="W518" s="243"/>
      <c r="X518" s="237"/>
      <c r="Y518" s="243"/>
      <c r="Z518" s="237"/>
      <c r="AA518" s="243"/>
      <c r="AB518" s="237"/>
      <c r="AC518" s="243"/>
      <c r="AD518" s="237"/>
      <c r="AE518" s="243"/>
      <c r="AF518" s="237"/>
      <c r="AG518" s="243"/>
      <c r="AH518" s="237"/>
      <c r="AI518" s="243"/>
    </row>
    <row r="519" spans="2:35" ht="12" thickBot="1">
      <c r="B519" s="665" t="s">
        <v>806</v>
      </c>
      <c r="C519" s="248"/>
      <c r="D519" s="245"/>
      <c r="E519" s="252">
        <f>SUM(E517:E518)</f>
        <v>1739314287</v>
      </c>
      <c r="F519" s="245"/>
      <c r="G519" s="252">
        <f>SUM(G517:G518)</f>
        <v>275015307</v>
      </c>
      <c r="H519" s="245"/>
      <c r="I519" s="252">
        <f>SUM(I517:I518)</f>
        <v>0</v>
      </c>
      <c r="J519" s="245"/>
      <c r="K519" s="252">
        <f>SUM(K517:K518)</f>
        <v>0</v>
      </c>
      <c r="L519" s="245"/>
      <c r="M519" s="252">
        <f>SUM(M517:M518)</f>
        <v>179829</v>
      </c>
      <c r="N519" s="245"/>
      <c r="O519" s="252">
        <f>SUM(O517:O518)</f>
        <v>0</v>
      </c>
      <c r="P519" s="245"/>
      <c r="Q519" s="252">
        <f>SUM(Q517:Q518)</f>
        <v>41775078</v>
      </c>
      <c r="R519" s="245"/>
      <c r="S519" s="252">
        <f>SUM(S517:S518)</f>
        <v>97150902</v>
      </c>
      <c r="T519" s="245"/>
      <c r="U519" s="252">
        <f>SUM(U517:U518)</f>
        <v>24577999</v>
      </c>
      <c r="V519" s="344"/>
      <c r="W519" s="252">
        <f>SUM(W517:W518)</f>
        <v>187082930</v>
      </c>
      <c r="X519" s="245"/>
      <c r="Y519" s="252">
        <f>SUM(Y517:Y518)</f>
        <v>73735276</v>
      </c>
      <c r="Z519" s="245"/>
      <c r="AA519" s="252">
        <f>SUM(AA517:AA518)</f>
        <v>167221202</v>
      </c>
      <c r="AB519" s="245"/>
      <c r="AC519" s="252">
        <f>SUM(AC517:AC518)</f>
        <v>0</v>
      </c>
      <c r="AD519" s="245"/>
      <c r="AE519" s="252">
        <f>SUM(AE517:AE518)</f>
        <v>869106223</v>
      </c>
      <c r="AF519" s="245"/>
      <c r="AG519" s="252">
        <f>SUM(AG517:AG518)</f>
        <v>3469541</v>
      </c>
      <c r="AH519" s="245"/>
      <c r="AI519" s="252">
        <f>SUM(AI517:AI518)</f>
        <v>0</v>
      </c>
    </row>
    <row r="521" spans="2:35" ht="14.25">
      <c r="B521" s="443"/>
    </row>
    <row r="522" spans="2:35">
      <c r="B522" s="1469" t="s">
        <v>985</v>
      </c>
      <c r="C522" s="1471"/>
      <c r="D522" s="1471"/>
      <c r="E522" s="1471"/>
      <c r="F522" s="1471"/>
      <c r="G522" s="1471"/>
    </row>
    <row r="524" spans="2:35" hidden="1">
      <c r="B524" s="444" t="s">
        <v>253</v>
      </c>
    </row>
    <row r="525" spans="2:35" hidden="1"/>
    <row r="526" spans="2:35" hidden="1">
      <c r="B526" s="1477" t="s">
        <v>254</v>
      </c>
      <c r="C526" s="1477"/>
      <c r="D526" s="1477"/>
      <c r="E526" s="1477"/>
      <c r="F526" s="1477"/>
      <c r="G526" s="1477"/>
    </row>
    <row r="527" spans="2:35" hidden="1"/>
    <row r="528" spans="2:35" ht="42.75" hidden="1" customHeight="1">
      <c r="B528" s="1475" t="s">
        <v>11</v>
      </c>
      <c r="C528" s="1475"/>
      <c r="D528" s="1475"/>
      <c r="E528" s="1475"/>
      <c r="F528" s="1475"/>
      <c r="G528" s="1475"/>
    </row>
    <row r="529" spans="2:7" hidden="1"/>
    <row r="530" spans="2:7" hidden="1">
      <c r="B530" s="1477" t="s">
        <v>255</v>
      </c>
      <c r="C530" s="1477"/>
      <c r="D530" s="1477"/>
      <c r="E530" s="1477"/>
      <c r="F530" s="1477"/>
      <c r="G530" s="1477"/>
    </row>
    <row r="531" spans="2:7" hidden="1"/>
    <row r="532" spans="2:7" hidden="1">
      <c r="B532" s="1477" t="s">
        <v>534</v>
      </c>
      <c r="C532" s="1477"/>
      <c r="D532" s="1477"/>
      <c r="E532" s="1477"/>
      <c r="F532" s="1477"/>
      <c r="G532" s="1477"/>
    </row>
    <row r="533" spans="2:7" hidden="1"/>
    <row r="534" spans="2:7" hidden="1">
      <c r="B534" s="1477" t="s">
        <v>535</v>
      </c>
      <c r="C534" s="1477"/>
      <c r="D534" s="1477"/>
      <c r="E534" s="1477"/>
      <c r="F534" s="1477"/>
      <c r="G534" s="1477"/>
    </row>
    <row r="535" spans="2:7" hidden="1"/>
    <row r="536" spans="2:7" ht="28.5" hidden="1" customHeight="1">
      <c r="B536" s="1475" t="s">
        <v>549</v>
      </c>
      <c r="C536" s="1475"/>
      <c r="D536" s="1475"/>
      <c r="E536" s="1475"/>
      <c r="F536" s="1475"/>
      <c r="G536" s="1475"/>
    </row>
    <row r="537" spans="2:7" hidden="1"/>
    <row r="538" spans="2:7" ht="22.5" hidden="1" customHeight="1">
      <c r="B538" s="1475" t="s">
        <v>550</v>
      </c>
      <c r="C538" s="1475"/>
      <c r="D538" s="1475"/>
      <c r="E538" s="1475"/>
      <c r="F538" s="1475"/>
      <c r="G538" s="1475"/>
    </row>
    <row r="539" spans="2:7" hidden="1"/>
    <row r="540" spans="2:7" ht="27.75" hidden="1" customHeight="1">
      <c r="B540" s="1475" t="s">
        <v>551</v>
      </c>
      <c r="C540" s="1475"/>
      <c r="D540" s="1475"/>
      <c r="E540" s="1475"/>
      <c r="F540" s="1475"/>
      <c r="G540" s="1475"/>
    </row>
    <row r="541" spans="2:7" hidden="1"/>
    <row r="542" spans="2:7" ht="34.5" hidden="1" customHeight="1">
      <c r="B542" s="1475" t="s">
        <v>12</v>
      </c>
      <c r="C542" s="1475"/>
      <c r="D542" s="1475"/>
      <c r="E542" s="1475"/>
      <c r="F542" s="1475"/>
      <c r="G542" s="1475"/>
    </row>
    <row r="543" spans="2:7" hidden="1"/>
    <row r="544" spans="2:7" ht="23.25" hidden="1" customHeight="1">
      <c r="B544" s="1475" t="s">
        <v>560</v>
      </c>
      <c r="C544" s="1475"/>
      <c r="D544" s="1475"/>
      <c r="E544" s="1475"/>
      <c r="F544" s="1475"/>
      <c r="G544" s="1475"/>
    </row>
    <row r="545" spans="2:35" hidden="1"/>
    <row r="546" spans="2:35" hidden="1">
      <c r="B546" s="444" t="s">
        <v>561</v>
      </c>
    </row>
    <row r="547" spans="2:35" hidden="1"/>
    <row r="548" spans="2:35" ht="21.75" hidden="1" customHeight="1">
      <c r="B548" s="1475" t="s">
        <v>562</v>
      </c>
      <c r="C548" s="1475"/>
      <c r="D548" s="1475"/>
      <c r="E548" s="1475"/>
      <c r="F548" s="1475"/>
      <c r="G548" s="1475"/>
    </row>
    <row r="549" spans="2:35" hidden="1"/>
    <row r="550" spans="2:35" hidden="1">
      <c r="B550" s="1477" t="s">
        <v>581</v>
      </c>
      <c r="C550" s="1477"/>
      <c r="D550" s="1477"/>
      <c r="E550" s="1477"/>
      <c r="F550" s="1477"/>
      <c r="G550" s="1477"/>
    </row>
    <row r="551" spans="2:35" hidden="1"/>
    <row r="552" spans="2:35" hidden="1">
      <c r="B552" s="444" t="s">
        <v>582</v>
      </c>
    </row>
    <row r="554" spans="2:35">
      <c r="B554" s="419" t="s">
        <v>552</v>
      </c>
    </row>
    <row r="555" spans="2:35" ht="12" thickBot="1">
      <c r="G555" s="335" t="s">
        <v>247</v>
      </c>
    </row>
    <row r="556" spans="2:35" ht="12" thickBot="1">
      <c r="B556" s="425"/>
      <c r="C556" s="274"/>
      <c r="D556" s="1463" t="s">
        <v>860</v>
      </c>
      <c r="E556" s="1464"/>
      <c r="F556" s="1463" t="s">
        <v>17</v>
      </c>
      <c r="G556" s="1464"/>
      <c r="H556" s="1463" t="s">
        <v>18</v>
      </c>
      <c r="I556" s="1464"/>
      <c r="J556" s="1463" t="s">
        <v>19</v>
      </c>
      <c r="K556" s="1464"/>
      <c r="L556" s="1463" t="s">
        <v>20</v>
      </c>
      <c r="M556" s="1464"/>
      <c r="N556" s="1463" t="s">
        <v>21</v>
      </c>
      <c r="O556" s="1464"/>
      <c r="P556" s="1463" t="s">
        <v>22</v>
      </c>
      <c r="Q556" s="1464"/>
      <c r="R556" s="1463" t="s">
        <v>23</v>
      </c>
      <c r="S556" s="1464"/>
      <c r="T556" s="1463" t="s">
        <v>24</v>
      </c>
      <c r="U556" s="1464"/>
      <c r="V556" s="1463" t="s">
        <v>25</v>
      </c>
      <c r="W556" s="1464"/>
      <c r="X556" s="1463" t="s">
        <v>26</v>
      </c>
      <c r="Y556" s="1464"/>
      <c r="Z556" s="1463" t="s">
        <v>27</v>
      </c>
      <c r="AA556" s="1464"/>
      <c r="AB556" s="1463" t="s">
        <v>28</v>
      </c>
      <c r="AC556" s="1464"/>
      <c r="AD556" s="1463" t="s">
        <v>29</v>
      </c>
      <c r="AE556" s="1464"/>
      <c r="AF556" s="1463" t="s">
        <v>30</v>
      </c>
      <c r="AG556" s="1464"/>
      <c r="AH556" s="1463" t="s">
        <v>31</v>
      </c>
      <c r="AI556" s="1464"/>
    </row>
    <row r="557" spans="2:35">
      <c r="B557" s="351" t="s">
        <v>585</v>
      </c>
      <c r="C557" s="251"/>
      <c r="D557" s="249"/>
      <c r="E557" s="250">
        <f>G557+I557+K557+M557+O557+Q557+S557+U557+W557+Y557+AA557+AC557+AE557+AG557+AI557</f>
        <v>284128924620.46997</v>
      </c>
      <c r="F557" s="249"/>
      <c r="G557" s="250">
        <v>11438069799</v>
      </c>
      <c r="H557" s="249"/>
      <c r="I557" s="250">
        <v>8102244878</v>
      </c>
      <c r="J557" s="249"/>
      <c r="K557" s="250">
        <v>16474253659</v>
      </c>
      <c r="L557" s="249"/>
      <c r="M557" s="250">
        <v>29053735345</v>
      </c>
      <c r="N557" s="249"/>
      <c r="O557" s="250">
        <v>53228700</v>
      </c>
      <c r="P557" s="249"/>
      <c r="Q557" s="250">
        <v>19702628305</v>
      </c>
      <c r="R557" s="249"/>
      <c r="S557" s="250">
        <v>1420052003</v>
      </c>
      <c r="T557" s="249"/>
      <c r="U557" s="250">
        <v>39115467554</v>
      </c>
      <c r="V557" s="249"/>
      <c r="W557" s="250">
        <v>27321236139</v>
      </c>
      <c r="X557" s="249"/>
      <c r="Y557" s="250">
        <v>1447076808</v>
      </c>
      <c r="Z557" s="249"/>
      <c r="AA557" s="250">
        <v>56248404085</v>
      </c>
      <c r="AB557" s="249"/>
      <c r="AC557" s="250">
        <v>10063735079.029999</v>
      </c>
      <c r="AD557" s="249"/>
      <c r="AE557" s="250">
        <v>27910543093</v>
      </c>
      <c r="AF557" s="249"/>
      <c r="AG557" s="250">
        <v>35778249173.440002</v>
      </c>
      <c r="AH557" s="249"/>
      <c r="AI557" s="250"/>
    </row>
    <row r="558" spans="2:35">
      <c r="B558" s="327" t="s">
        <v>586</v>
      </c>
      <c r="C558" s="244"/>
      <c r="D558" s="237"/>
      <c r="E558" s="243">
        <f>G558+I558+K558+M558+O558+Q558+S558+U558+W558+Y558+AA558+AC558+AE558+AG558+AI558</f>
        <v>27307694</v>
      </c>
      <c r="F558" s="237"/>
      <c r="G558" s="243"/>
      <c r="H558" s="237"/>
      <c r="I558" s="243"/>
      <c r="J558" s="237"/>
      <c r="K558" s="243">
        <v>1200</v>
      </c>
      <c r="L558" s="237"/>
      <c r="M558" s="243"/>
      <c r="N558" s="237"/>
      <c r="O558" s="243"/>
      <c r="P558" s="237"/>
      <c r="Q558" s="243">
        <v>27138165</v>
      </c>
      <c r="R558" s="237"/>
      <c r="S558" s="243"/>
      <c r="T558" s="237"/>
      <c r="U558" s="243"/>
      <c r="V558" s="237"/>
      <c r="W558" s="243"/>
      <c r="X558" s="237"/>
      <c r="Y558" s="243">
        <v>4969</v>
      </c>
      <c r="Z558" s="237"/>
      <c r="AA558" s="243"/>
      <c r="AB558" s="237"/>
      <c r="AC558" s="243"/>
      <c r="AD558" s="237"/>
      <c r="AE558" s="243">
        <v>163360</v>
      </c>
      <c r="AF558" s="237"/>
      <c r="AG558" s="243"/>
      <c r="AH558" s="237"/>
      <c r="AI558" s="243"/>
    </row>
    <row r="559" spans="2:35">
      <c r="B559" s="720" t="s">
        <v>587</v>
      </c>
      <c r="C559" s="244"/>
      <c r="D559" s="237"/>
      <c r="E559" s="243"/>
      <c r="F559" s="237"/>
      <c r="G559" s="243"/>
      <c r="H559" s="237"/>
      <c r="I559" s="243"/>
      <c r="J559" s="237"/>
      <c r="K559" s="243"/>
      <c r="L559" s="237"/>
      <c r="M559" s="243"/>
      <c r="N559" s="237"/>
      <c r="O559" s="243"/>
      <c r="P559" s="237"/>
      <c r="Q559" s="243"/>
      <c r="R559" s="237"/>
      <c r="S559" s="243"/>
      <c r="T559" s="237"/>
      <c r="U559" s="243"/>
      <c r="V559" s="237"/>
      <c r="W559" s="243"/>
      <c r="X559" s="237"/>
      <c r="Y559" s="243"/>
      <c r="Z559" s="237"/>
      <c r="AA559" s="243"/>
      <c r="AB559" s="237"/>
      <c r="AC559" s="243"/>
      <c r="AD559" s="237"/>
      <c r="AE559" s="243"/>
      <c r="AF559" s="237"/>
      <c r="AG559" s="243"/>
      <c r="AH559" s="237"/>
      <c r="AI559" s="243"/>
    </row>
    <row r="560" spans="2:35">
      <c r="B560" s="327" t="s">
        <v>404</v>
      </c>
      <c r="C560" s="244"/>
      <c r="D560" s="237">
        <f>F560+H560+J560+L560+N560+P560+R560+T560+V560+X560+Z560+AB560+AD560+AF560+AH560</f>
        <v>6916973</v>
      </c>
      <c r="E560" s="243"/>
      <c r="F560" s="237"/>
      <c r="G560" s="243"/>
      <c r="H560" s="237"/>
      <c r="I560" s="243"/>
      <c r="J560" s="237"/>
      <c r="K560" s="243"/>
      <c r="L560" s="237">
        <v>4549304</v>
      </c>
      <c r="M560" s="243"/>
      <c r="N560" s="237"/>
      <c r="O560" s="243"/>
      <c r="P560" s="237"/>
      <c r="Q560" s="243"/>
      <c r="R560" s="237"/>
      <c r="S560" s="243"/>
      <c r="T560" s="237">
        <v>2367669</v>
      </c>
      <c r="U560" s="243"/>
      <c r="V560" s="237"/>
      <c r="W560" s="243"/>
      <c r="X560" s="237"/>
      <c r="Y560" s="243"/>
      <c r="Z560" s="237"/>
      <c r="AA560" s="243"/>
      <c r="AB560" s="237"/>
      <c r="AC560" s="243"/>
      <c r="AD560" s="237"/>
      <c r="AE560" s="243"/>
      <c r="AF560" s="237"/>
      <c r="AG560" s="243"/>
      <c r="AH560" s="237"/>
      <c r="AI560" s="243"/>
    </row>
    <row r="561" spans="2:35">
      <c r="B561" s="327" t="s">
        <v>405</v>
      </c>
      <c r="C561" s="244"/>
      <c r="D561" s="237">
        <f>F561+H561+J561+L561+N561+P561+R561+T561+V561+X561+Z561+AB561+AD561+AF561+AH561</f>
        <v>1401316281</v>
      </c>
      <c r="E561" s="243"/>
      <c r="F561" s="237">
        <v>-199940348</v>
      </c>
      <c r="G561" s="243"/>
      <c r="H561" s="237"/>
      <c r="I561" s="243"/>
      <c r="J561" s="237">
        <v>10672832</v>
      </c>
      <c r="K561" s="243"/>
      <c r="L561" s="237">
        <v>84546079</v>
      </c>
      <c r="M561" s="243"/>
      <c r="N561" s="237"/>
      <c r="O561" s="243"/>
      <c r="P561" s="237">
        <v>429697072</v>
      </c>
      <c r="Q561" s="243"/>
      <c r="R561" s="237"/>
      <c r="S561" s="243"/>
      <c r="T561" s="237">
        <v>1076115261</v>
      </c>
      <c r="U561" s="243"/>
      <c r="V561" s="237"/>
      <c r="W561" s="243"/>
      <c r="X561" s="237"/>
      <c r="Y561" s="243"/>
      <c r="Z561" s="237"/>
      <c r="AA561" s="243"/>
      <c r="AB561" s="237">
        <v>81360</v>
      </c>
      <c r="AC561" s="243"/>
      <c r="AD561" s="237">
        <v>144025</v>
      </c>
      <c r="AE561" s="243"/>
      <c r="AF561" s="237"/>
      <c r="AG561" s="243"/>
      <c r="AH561" s="237"/>
      <c r="AI561" s="243"/>
    </row>
    <row r="562" spans="2:35">
      <c r="B562" s="327" t="s">
        <v>406</v>
      </c>
      <c r="C562" s="244"/>
      <c r="D562" s="237">
        <f>F562+H562+J562+L562+N562+P562+R562+T562+V562+X562+Z562+AB562+AD562+AF562+AH562</f>
        <v>294863090</v>
      </c>
      <c r="E562" s="243"/>
      <c r="F562" s="237"/>
      <c r="G562" s="243"/>
      <c r="H562" s="237"/>
      <c r="I562" s="243"/>
      <c r="J562" s="237">
        <v>268727490</v>
      </c>
      <c r="K562" s="243"/>
      <c r="L562" s="237"/>
      <c r="M562" s="243"/>
      <c r="N562" s="237"/>
      <c r="O562" s="243"/>
      <c r="P562" s="237">
        <v>26135600</v>
      </c>
      <c r="Q562" s="243"/>
      <c r="R562" s="237"/>
      <c r="S562" s="243"/>
      <c r="T562" s="237"/>
      <c r="U562" s="243"/>
      <c r="V562" s="237"/>
      <c r="W562" s="243"/>
      <c r="X562" s="237"/>
      <c r="Y562" s="243"/>
      <c r="Z562" s="237"/>
      <c r="AA562" s="243"/>
      <c r="AB562" s="237"/>
      <c r="AC562" s="243"/>
      <c r="AD562" s="237">
        <v>0</v>
      </c>
      <c r="AE562" s="243"/>
      <c r="AF562" s="237"/>
      <c r="AG562" s="243"/>
      <c r="AH562" s="237"/>
      <c r="AI562" s="243"/>
    </row>
    <row r="563" spans="2:35" ht="12" thickBot="1">
      <c r="B563" s="327" t="s">
        <v>407</v>
      </c>
      <c r="C563" s="244"/>
      <c r="D563" s="245">
        <f>F563+H563+J563+L563+N563+P563+R563+T563+V563+X563+Z563+AB563+AD563+AF563+AH563</f>
        <v>134783322</v>
      </c>
      <c r="E563" s="243">
        <f>SUM(D560:D563)</f>
        <v>1837879666</v>
      </c>
      <c r="F563" s="245">
        <v>-2211172</v>
      </c>
      <c r="G563" s="243">
        <f>SUM(F560:F563)</f>
        <v>-202151520</v>
      </c>
      <c r="H563" s="245"/>
      <c r="I563" s="243">
        <f>SUM(H560:H563)</f>
        <v>0</v>
      </c>
      <c r="J563" s="245">
        <v>247899</v>
      </c>
      <c r="K563" s="243">
        <f>SUM(J560:J563)</f>
        <v>279648221</v>
      </c>
      <c r="L563" s="245"/>
      <c r="M563" s="243">
        <f>SUM(L560:L563)</f>
        <v>89095383</v>
      </c>
      <c r="N563" s="245"/>
      <c r="O563" s="243">
        <f>SUM(N560:N563)</f>
        <v>0</v>
      </c>
      <c r="P563" s="245">
        <v>3458648</v>
      </c>
      <c r="Q563" s="243">
        <f>SUM(P560:P563)</f>
        <v>459291320</v>
      </c>
      <c r="R563" s="245">
        <v>438879</v>
      </c>
      <c r="S563" s="243">
        <f>SUM(R560:R563)</f>
        <v>438879</v>
      </c>
      <c r="T563" s="245">
        <v>98823288</v>
      </c>
      <c r="U563" s="243">
        <f>SUM(T560:T563)</f>
        <v>1177306218</v>
      </c>
      <c r="V563" s="245">
        <v>25997710</v>
      </c>
      <c r="W563" s="243">
        <f>SUM(V560:V563)</f>
        <v>25997710</v>
      </c>
      <c r="X563" s="245"/>
      <c r="Y563" s="243">
        <f>SUM(X560:X563)</f>
        <v>0</v>
      </c>
      <c r="Z563" s="245">
        <v>3603824</v>
      </c>
      <c r="AA563" s="243">
        <f>SUM(Z560:Z563)</f>
        <v>3603824</v>
      </c>
      <c r="AB563" s="245"/>
      <c r="AC563" s="243">
        <f>SUM(AB560:AB563)</f>
        <v>81360</v>
      </c>
      <c r="AD563" s="245">
        <v>129171</v>
      </c>
      <c r="AE563" s="243">
        <f>SUM(AD560:AD563)</f>
        <v>273196</v>
      </c>
      <c r="AF563" s="245">
        <f>4295075</f>
        <v>4295075</v>
      </c>
      <c r="AG563" s="243">
        <f>SUM(AF560:AF563)</f>
        <v>4295075</v>
      </c>
      <c r="AH563" s="245"/>
      <c r="AI563" s="243">
        <f>SUM(AH560:AH563)</f>
        <v>0</v>
      </c>
    </row>
    <row r="564" spans="2:35">
      <c r="B564" s="327"/>
      <c r="C564" s="244"/>
      <c r="D564" s="237"/>
      <c r="E564" s="243">
        <f>SUM(E557:E563)</f>
        <v>285994111980.46997</v>
      </c>
      <c r="F564" s="237"/>
      <c r="G564" s="243">
        <f>SUM(G557:G563)</f>
        <v>11235918279</v>
      </c>
      <c r="H564" s="237"/>
      <c r="I564" s="243">
        <f>SUM(I557:I563)</f>
        <v>8102244878</v>
      </c>
      <c r="J564" s="237"/>
      <c r="K564" s="243">
        <f>SUM(K557:K563)</f>
        <v>16753903080</v>
      </c>
      <c r="L564" s="237"/>
      <c r="M564" s="243">
        <f>SUM(M557:M563)</f>
        <v>29142830728</v>
      </c>
      <c r="N564" s="237"/>
      <c r="O564" s="243">
        <f>SUM(O557:O563)</f>
        <v>53228700</v>
      </c>
      <c r="P564" s="237"/>
      <c r="Q564" s="243">
        <f>SUM(Q557:Q563)</f>
        <v>20189057790</v>
      </c>
      <c r="R564" s="237"/>
      <c r="S564" s="243">
        <f>SUM(S557:S563)</f>
        <v>1420490882</v>
      </c>
      <c r="T564" s="237"/>
      <c r="U564" s="243">
        <f>SUM(U557:U563)</f>
        <v>40292773772</v>
      </c>
      <c r="V564" s="237"/>
      <c r="W564" s="243">
        <f>SUM(W557:W563)</f>
        <v>27347233849</v>
      </c>
      <c r="X564" s="237"/>
      <c r="Y564" s="243">
        <f>SUM(Y557:Y563)</f>
        <v>1447081777</v>
      </c>
      <c r="Z564" s="237"/>
      <c r="AA564" s="243">
        <f>SUM(AA557:AA563)</f>
        <v>56252007909</v>
      </c>
      <c r="AB564" s="237"/>
      <c r="AC564" s="243">
        <f>SUM(AC557:AC563)</f>
        <v>10063816439.029999</v>
      </c>
      <c r="AD564" s="237"/>
      <c r="AE564" s="243">
        <f>SUM(AE557:AE563)</f>
        <v>27910979649</v>
      </c>
      <c r="AF564" s="237"/>
      <c r="AG564" s="243">
        <f>SUM(AG557:AG563)</f>
        <v>35782544248.440002</v>
      </c>
      <c r="AH564" s="237"/>
      <c r="AI564" s="243">
        <f>SUM(AI557:AI563)</f>
        <v>0</v>
      </c>
    </row>
    <row r="565" spans="2:35">
      <c r="B565" s="237" t="s">
        <v>981</v>
      </c>
      <c r="C565" s="244"/>
      <c r="D565" s="237"/>
      <c r="E565" s="243"/>
      <c r="F565" s="237"/>
      <c r="G565" s="243"/>
      <c r="H565" s="237"/>
      <c r="I565" s="243"/>
      <c r="J565" s="237"/>
      <c r="K565" s="243"/>
      <c r="L565" s="237"/>
      <c r="M565" s="243"/>
      <c r="N565" s="237"/>
      <c r="O565" s="243"/>
      <c r="P565" s="237"/>
      <c r="Q565" s="243"/>
      <c r="R565" s="237"/>
      <c r="S565" s="243"/>
      <c r="T565" s="237"/>
      <c r="U565" s="243"/>
      <c r="V565" s="237"/>
      <c r="W565" s="243"/>
      <c r="X565" s="237"/>
      <c r="Y565" s="243"/>
      <c r="Z565" s="237"/>
      <c r="AA565" s="243"/>
      <c r="AB565" s="237"/>
      <c r="AC565" s="243"/>
      <c r="AD565" s="237"/>
      <c r="AE565" s="243"/>
      <c r="AF565" s="237"/>
      <c r="AG565" s="243"/>
      <c r="AH565" s="237"/>
      <c r="AI565" s="243"/>
    </row>
    <row r="566" spans="2:35">
      <c r="B566" s="327" t="s">
        <v>982</v>
      </c>
      <c r="C566" s="244"/>
      <c r="D566" s="237">
        <f>F566+H566+J566+L566+N566+P566+R566+T566+V566+X566+Z566+AB566+AD566+AF566+AH566</f>
        <v>10524008</v>
      </c>
      <c r="E566" s="243">
        <f>D566</f>
        <v>10524008</v>
      </c>
      <c r="F566" s="237"/>
      <c r="G566" s="243">
        <f>F566</f>
        <v>0</v>
      </c>
      <c r="H566" s="237">
        <v>138412</v>
      </c>
      <c r="I566" s="243">
        <f>H566</f>
        <v>138412</v>
      </c>
      <c r="J566" s="237"/>
      <c r="K566" s="243">
        <f>J566</f>
        <v>0</v>
      </c>
      <c r="L566" s="237"/>
      <c r="M566" s="243">
        <f>L566</f>
        <v>0</v>
      </c>
      <c r="N566" s="237"/>
      <c r="O566" s="243">
        <f>N566</f>
        <v>0</v>
      </c>
      <c r="P566" s="237"/>
      <c r="Q566" s="243">
        <f>P566</f>
        <v>0</v>
      </c>
      <c r="R566" s="237"/>
      <c r="S566" s="243">
        <f>R566</f>
        <v>0</v>
      </c>
      <c r="T566" s="237"/>
      <c r="U566" s="243">
        <f>T566</f>
        <v>0</v>
      </c>
      <c r="V566" s="237"/>
      <c r="W566" s="243">
        <f>V566</f>
        <v>0</v>
      </c>
      <c r="X566" s="237"/>
      <c r="Y566" s="243">
        <f>X566</f>
        <v>0</v>
      </c>
      <c r="Z566" s="237"/>
      <c r="AA566" s="243">
        <f>Z566</f>
        <v>0</v>
      </c>
      <c r="AB566" s="237"/>
      <c r="AC566" s="243">
        <f>AB566</f>
        <v>0</v>
      </c>
      <c r="AD566" s="237">
        <v>10385596</v>
      </c>
      <c r="AE566" s="243">
        <f>AD566</f>
        <v>10385596</v>
      </c>
      <c r="AF566" s="237"/>
      <c r="AG566" s="243">
        <f>AF566</f>
        <v>0</v>
      </c>
      <c r="AH566" s="237"/>
      <c r="AI566" s="243">
        <f>AH566</f>
        <v>0</v>
      </c>
    </row>
    <row r="567" spans="2:35" ht="12" thickBot="1">
      <c r="B567" s="784" t="s">
        <v>806</v>
      </c>
      <c r="C567" s="244"/>
      <c r="D567" s="237"/>
      <c r="E567" s="246">
        <f>E564-E566</f>
        <v>285983587972.46997</v>
      </c>
      <c r="F567" s="237"/>
      <c r="G567" s="246">
        <f>G564-G566</f>
        <v>11235918279</v>
      </c>
      <c r="H567" s="237"/>
      <c r="I567" s="246">
        <f>I564-I566</f>
        <v>8102106466</v>
      </c>
      <c r="J567" s="237"/>
      <c r="K567" s="246">
        <f>K564-K566</f>
        <v>16753903080</v>
      </c>
      <c r="L567" s="237"/>
      <c r="M567" s="246">
        <f>M564-M566</f>
        <v>29142830728</v>
      </c>
      <c r="N567" s="237"/>
      <c r="O567" s="246">
        <f>O564-O566</f>
        <v>53228700</v>
      </c>
      <c r="P567" s="237"/>
      <c r="Q567" s="246">
        <f>Q564-Q566</f>
        <v>20189057790</v>
      </c>
      <c r="R567" s="237"/>
      <c r="S567" s="246">
        <f>S564-S566</f>
        <v>1420490882</v>
      </c>
      <c r="T567" s="237"/>
      <c r="U567" s="246">
        <f>U564-U566</f>
        <v>40292773772</v>
      </c>
      <c r="V567" s="237"/>
      <c r="W567" s="246">
        <f>W564-W566</f>
        <v>27347233849</v>
      </c>
      <c r="X567" s="237"/>
      <c r="Y567" s="246">
        <f>Y564-Y566</f>
        <v>1447081777</v>
      </c>
      <c r="Z567" s="237"/>
      <c r="AA567" s="246">
        <f>AA564-AA566</f>
        <v>56252007909</v>
      </c>
      <c r="AB567" s="237"/>
      <c r="AC567" s="246">
        <f>AC564-AC566</f>
        <v>10063816439.029999</v>
      </c>
      <c r="AD567" s="237"/>
      <c r="AE567" s="246">
        <f>AE564-AE566</f>
        <v>27900594053</v>
      </c>
      <c r="AF567" s="237"/>
      <c r="AG567" s="246">
        <f>AG564-AG566</f>
        <v>35782544248.440002</v>
      </c>
      <c r="AH567" s="237"/>
      <c r="AI567" s="246">
        <f>AI564-AI566</f>
        <v>0</v>
      </c>
    </row>
    <row r="568" spans="2:35" ht="12.75" thickTop="1" thickBot="1">
      <c r="B568" s="245"/>
      <c r="C568" s="248"/>
      <c r="D568" s="245"/>
      <c r="E568" s="247"/>
      <c r="F568" s="245"/>
      <c r="G568" s="247"/>
      <c r="H568" s="245"/>
      <c r="I568" s="247"/>
      <c r="J568" s="245"/>
      <c r="K568" s="247"/>
      <c r="L568" s="245"/>
      <c r="M568" s="247"/>
      <c r="N568" s="245"/>
      <c r="O568" s="247"/>
      <c r="P568" s="245"/>
      <c r="Q568" s="247"/>
      <c r="R568" s="245"/>
      <c r="S568" s="247"/>
      <c r="T568" s="245"/>
      <c r="U568" s="247"/>
      <c r="V568" s="245"/>
      <c r="W568" s="247"/>
      <c r="X568" s="245"/>
      <c r="Y568" s="247"/>
      <c r="Z568" s="245"/>
      <c r="AA568" s="247"/>
      <c r="AB568" s="245"/>
      <c r="AC568" s="247"/>
      <c r="AD568" s="245"/>
      <c r="AE568" s="247"/>
      <c r="AF568" s="245"/>
      <c r="AG568" s="247"/>
      <c r="AH568" s="245"/>
      <c r="AI568" s="247"/>
    </row>
    <row r="570" spans="2:35" ht="35.25" hidden="1" customHeight="1">
      <c r="B570" s="1475" t="s">
        <v>589</v>
      </c>
      <c r="C570" s="1475"/>
      <c r="D570" s="1475"/>
      <c r="E570" s="1475"/>
      <c r="F570" s="1475"/>
      <c r="G570" s="1475"/>
    </row>
    <row r="571" spans="2:35" hidden="1"/>
    <row r="572" spans="2:35" ht="30.75" hidden="1" customHeight="1">
      <c r="B572" s="1475" t="s">
        <v>932</v>
      </c>
      <c r="C572" s="1475"/>
      <c r="D572" s="1475"/>
      <c r="E572" s="1475"/>
      <c r="F572" s="1475"/>
      <c r="G572" s="1475"/>
    </row>
    <row r="574" spans="2:35">
      <c r="B574" s="419" t="s">
        <v>553</v>
      </c>
    </row>
    <row r="575" spans="2:35" ht="12" thickBot="1">
      <c r="G575" s="335" t="s">
        <v>247</v>
      </c>
    </row>
    <row r="576" spans="2:35" ht="12" thickBot="1">
      <c r="B576" s="425"/>
      <c r="C576" s="274"/>
      <c r="D576" s="1463" t="s">
        <v>860</v>
      </c>
      <c r="E576" s="1464"/>
      <c r="F576" s="1463" t="s">
        <v>17</v>
      </c>
      <c r="G576" s="1464"/>
      <c r="H576" s="1463" t="s">
        <v>18</v>
      </c>
      <c r="I576" s="1464"/>
      <c r="J576" s="1463" t="s">
        <v>19</v>
      </c>
      <c r="K576" s="1464"/>
      <c r="L576" s="1463" t="s">
        <v>20</v>
      </c>
      <c r="M576" s="1464"/>
      <c r="N576" s="1463" t="s">
        <v>21</v>
      </c>
      <c r="O576" s="1464"/>
      <c r="P576" s="1463" t="s">
        <v>22</v>
      </c>
      <c r="Q576" s="1464"/>
      <c r="R576" s="1463" t="s">
        <v>23</v>
      </c>
      <c r="S576" s="1464"/>
      <c r="T576" s="1463" t="s">
        <v>24</v>
      </c>
      <c r="U576" s="1464"/>
      <c r="V576" s="1463" t="s">
        <v>25</v>
      </c>
      <c r="W576" s="1464"/>
      <c r="X576" s="1463" t="s">
        <v>26</v>
      </c>
      <c r="Y576" s="1464"/>
      <c r="Z576" s="1463" t="s">
        <v>27</v>
      </c>
      <c r="AA576" s="1464"/>
      <c r="AB576" s="1463" t="s">
        <v>28</v>
      </c>
      <c r="AC576" s="1464"/>
      <c r="AD576" s="1463" t="s">
        <v>29</v>
      </c>
      <c r="AE576" s="1464"/>
      <c r="AF576" s="1463" t="s">
        <v>30</v>
      </c>
      <c r="AG576" s="1464"/>
      <c r="AH576" s="1463" t="s">
        <v>31</v>
      </c>
      <c r="AI576" s="1464"/>
    </row>
    <row r="577" spans="2:35">
      <c r="B577" s="351" t="s">
        <v>595</v>
      </c>
      <c r="C577" s="251"/>
      <c r="D577" s="249"/>
      <c r="E577" s="250"/>
      <c r="F577" s="251"/>
      <c r="G577" s="250"/>
      <c r="H577" s="251"/>
      <c r="I577" s="250"/>
      <c r="J577" s="251"/>
      <c r="K577" s="250"/>
      <c r="L577" s="251"/>
      <c r="M577" s="250"/>
      <c r="N577" s="251"/>
      <c r="O577" s="250"/>
      <c r="P577" s="251"/>
      <c r="Q577" s="250"/>
      <c r="R577" s="251"/>
      <c r="S577" s="250"/>
      <c r="T577" s="251"/>
      <c r="U577" s="250"/>
      <c r="V577" s="427"/>
      <c r="W577" s="250"/>
      <c r="X577" s="251"/>
      <c r="Y577" s="250"/>
      <c r="Z577" s="251"/>
      <c r="AA577" s="250"/>
      <c r="AB577" s="251"/>
      <c r="AC577" s="250"/>
      <c r="AD577" s="251"/>
      <c r="AE577" s="250"/>
      <c r="AF577" s="251"/>
      <c r="AG577" s="250"/>
      <c r="AH577" s="251"/>
      <c r="AI577" s="250"/>
    </row>
    <row r="578" spans="2:35">
      <c r="B578" s="364" t="s">
        <v>591</v>
      </c>
      <c r="C578" s="244"/>
      <c r="D578" s="237">
        <f>F578+H578+J578+L578+N578+P578+R578+T578+V578+X578+Z578+AB578+AD578+AF578+AH578</f>
        <v>1931524072</v>
      </c>
      <c r="E578" s="243"/>
      <c r="F578" s="244">
        <v>1762634380</v>
      </c>
      <c r="G578" s="243"/>
      <c r="H578" s="244">
        <v>28167734</v>
      </c>
      <c r="I578" s="243"/>
      <c r="J578" s="244">
        <v>5418</v>
      </c>
      <c r="K578" s="243"/>
      <c r="L578" s="244">
        <v>12378924</v>
      </c>
      <c r="M578" s="243"/>
      <c r="N578" s="244"/>
      <c r="O578" s="243"/>
      <c r="P578" s="244">
        <v>707548</v>
      </c>
      <c r="Q578" s="243"/>
      <c r="R578" s="244">
        <v>1829465</v>
      </c>
      <c r="S578" s="243"/>
      <c r="T578" s="244">
        <v>16431</v>
      </c>
      <c r="U578" s="243"/>
      <c r="V578" s="341">
        <v>2561166</v>
      </c>
      <c r="W578" s="243"/>
      <c r="X578" s="244">
        <v>2578845</v>
      </c>
      <c r="Y578" s="243"/>
      <c r="Z578" s="244">
        <v>561389</v>
      </c>
      <c r="AA578" s="243"/>
      <c r="AB578" s="244">
        <v>12442333</v>
      </c>
      <c r="AC578" s="243"/>
      <c r="AD578" s="244">
        <v>3992373</v>
      </c>
      <c r="AE578" s="243"/>
      <c r="AF578" s="244">
        <v>103648066</v>
      </c>
      <c r="AG578" s="243"/>
      <c r="AH578" s="244"/>
      <c r="AI578" s="243"/>
    </row>
    <row r="579" spans="2:35" ht="21">
      <c r="B579" s="364" t="s">
        <v>592</v>
      </c>
      <c r="C579" s="244"/>
      <c r="D579" s="237">
        <f>F579+H579+J579+L579+N579+P579+R579+T579+V579+X579+Z579+AB579+AD579+AF579+AH579</f>
        <v>38612441</v>
      </c>
      <c r="E579" s="243"/>
      <c r="F579" s="244">
        <v>5009262</v>
      </c>
      <c r="G579" s="243"/>
      <c r="H579" s="244">
        <v>0</v>
      </c>
      <c r="I579" s="243"/>
      <c r="J579" s="244"/>
      <c r="K579" s="243"/>
      <c r="L579" s="244"/>
      <c r="M579" s="243"/>
      <c r="N579" s="244"/>
      <c r="O579" s="243"/>
      <c r="P579" s="244">
        <v>5354870</v>
      </c>
      <c r="Q579" s="243"/>
      <c r="R579" s="244"/>
      <c r="S579" s="243"/>
      <c r="T579" s="244"/>
      <c r="U579" s="243"/>
      <c r="V579" s="341">
        <v>27664980</v>
      </c>
      <c r="W579" s="243"/>
      <c r="X579" s="244">
        <v>4804</v>
      </c>
      <c r="Y579" s="243"/>
      <c r="Z579" s="244"/>
      <c r="AA579" s="243"/>
      <c r="AB579" s="244">
        <v>283854</v>
      </c>
      <c r="AC579" s="243"/>
      <c r="AD579" s="244">
        <v>294671</v>
      </c>
      <c r="AE579" s="243"/>
      <c r="AF579" s="244"/>
      <c r="AG579" s="243"/>
      <c r="AH579" s="244"/>
      <c r="AI579" s="243"/>
    </row>
    <row r="580" spans="2:35" ht="12" thickBot="1">
      <c r="B580" s="364" t="s">
        <v>593</v>
      </c>
      <c r="C580" s="244"/>
      <c r="D580" s="245">
        <f>F580+H580+J580+L580+N580+P580+R580+T580+V580+X580+Z580+AB580+AD580+AF580+AH580</f>
        <v>826338390</v>
      </c>
      <c r="E580" s="243">
        <f>+SUM(D578:D580)</f>
        <v>2796474903</v>
      </c>
      <c r="F580" s="245">
        <v>81569127</v>
      </c>
      <c r="G580" s="243">
        <f>+SUM(F578:F580)</f>
        <v>1849212769</v>
      </c>
      <c r="H580" s="245">
        <v>51276756</v>
      </c>
      <c r="I580" s="243">
        <f>+SUM(H578:H580)</f>
        <v>79444490</v>
      </c>
      <c r="J580" s="245">
        <v>10260162</v>
      </c>
      <c r="K580" s="243">
        <f>+SUM(J578:J580)</f>
        <v>10265580</v>
      </c>
      <c r="L580" s="245">
        <v>75349090</v>
      </c>
      <c r="M580" s="243">
        <f>+SUM(L578:L580)</f>
        <v>87728014</v>
      </c>
      <c r="N580" s="245">
        <v>1350788</v>
      </c>
      <c r="O580" s="243">
        <f>+SUM(N578:N580)</f>
        <v>1350788</v>
      </c>
      <c r="P580" s="245">
        <v>104187768</v>
      </c>
      <c r="Q580" s="243">
        <f>+SUM(P578:P580)</f>
        <v>110250186</v>
      </c>
      <c r="R580" s="245">
        <f>736680-1</f>
        <v>736679</v>
      </c>
      <c r="S580" s="243">
        <f>+SUM(R578:R580)</f>
        <v>2566144</v>
      </c>
      <c r="T580" s="245">
        <v>166620307</v>
      </c>
      <c r="U580" s="243">
        <f>+SUM(T578:T580)</f>
        <v>166636738</v>
      </c>
      <c r="V580" s="344">
        <v>64199956</v>
      </c>
      <c r="W580" s="243">
        <f>+SUM(V578:V580)</f>
        <v>94426102</v>
      </c>
      <c r="X580" s="245">
        <f>176177+1</f>
        <v>176178</v>
      </c>
      <c r="Y580" s="243">
        <f>+SUM(X578:X580)</f>
        <v>2759827</v>
      </c>
      <c r="Z580" s="245">
        <v>15057019</v>
      </c>
      <c r="AA580" s="243">
        <f>+SUM(Z578:Z580)</f>
        <v>15618408</v>
      </c>
      <c r="AB580" s="245">
        <f>20148982+1</f>
        <v>20148983</v>
      </c>
      <c r="AC580" s="243">
        <f>+SUM(AB578:AB580)</f>
        <v>32875170</v>
      </c>
      <c r="AD580" s="245">
        <v>46450954</v>
      </c>
      <c r="AE580" s="243">
        <f>+SUM(AD578:AD580)</f>
        <v>50737998</v>
      </c>
      <c r="AF580" s="245">
        <f>2142665+186639779</f>
        <v>188782444</v>
      </c>
      <c r="AG580" s="243">
        <f>+SUM(AF578:AF580)</f>
        <v>292430510</v>
      </c>
      <c r="AH580" s="245">
        <v>172179</v>
      </c>
      <c r="AI580" s="243">
        <f>+SUM(AH578:AH580)</f>
        <v>172179</v>
      </c>
    </row>
    <row r="581" spans="2:35" ht="14.25" customHeight="1">
      <c r="B581" s="327" t="s">
        <v>1185</v>
      </c>
      <c r="C581" s="244"/>
      <c r="D581" s="237"/>
      <c r="E581" s="243"/>
      <c r="F581" s="244"/>
      <c r="G581" s="243"/>
      <c r="H581" s="244"/>
      <c r="I581" s="243">
        <v>0</v>
      </c>
      <c r="J581" s="244"/>
      <c r="K581" s="243">
        <v>0</v>
      </c>
      <c r="L581" s="244"/>
      <c r="M581" s="243">
        <v>0</v>
      </c>
      <c r="N581" s="244"/>
      <c r="O581" s="243">
        <v>0</v>
      </c>
      <c r="P581" s="244"/>
      <c r="Q581" s="243">
        <v>0</v>
      </c>
      <c r="R581" s="244"/>
      <c r="S581" s="243">
        <v>0</v>
      </c>
      <c r="T581" s="244"/>
      <c r="U581" s="243">
        <v>0</v>
      </c>
      <c r="V581" s="341"/>
      <c r="W581" s="243">
        <v>0</v>
      </c>
      <c r="X581" s="244"/>
      <c r="Y581" s="243">
        <v>0</v>
      </c>
      <c r="Z581" s="244"/>
      <c r="AA581" s="243">
        <v>0</v>
      </c>
      <c r="AB581" s="244"/>
      <c r="AC581" s="243">
        <v>0</v>
      </c>
      <c r="AD581" s="244"/>
      <c r="AE581" s="243">
        <v>0</v>
      </c>
      <c r="AF581" s="244"/>
      <c r="AG581" s="243">
        <v>0</v>
      </c>
      <c r="AH581" s="244"/>
      <c r="AI581" s="243">
        <v>0</v>
      </c>
    </row>
    <row r="582" spans="2:35" ht="14.25" customHeight="1">
      <c r="B582" s="327" t="s">
        <v>1186</v>
      </c>
      <c r="C582" s="244"/>
      <c r="D582" s="237">
        <f t="shared" ref="D582:D583" si="9">F582+H582+J582+L582+N582+P582+R582+T582+V582+X582+Z582+AB582+AD582+AF582+AH582</f>
        <v>101758599</v>
      </c>
      <c r="E582" s="243"/>
      <c r="F582" s="244">
        <v>101758599</v>
      </c>
      <c r="G582" s="243"/>
      <c r="H582" s="244"/>
      <c r="I582" s="243"/>
      <c r="J582" s="244"/>
      <c r="K582" s="243"/>
      <c r="L582" s="244"/>
      <c r="M582" s="243"/>
      <c r="N582" s="244"/>
      <c r="O582" s="243"/>
      <c r="P582" s="244"/>
      <c r="Q582" s="243"/>
      <c r="R582" s="244"/>
      <c r="S582" s="243"/>
      <c r="T582" s="244"/>
      <c r="U582" s="243"/>
      <c r="V582" s="341"/>
      <c r="W582" s="243"/>
      <c r="X582" s="244"/>
      <c r="Y582" s="243"/>
      <c r="Z582" s="244"/>
      <c r="AA582" s="243"/>
      <c r="AB582" s="244"/>
      <c r="AC582" s="243"/>
      <c r="AD582" s="244"/>
      <c r="AE582" s="243"/>
      <c r="AF582" s="244"/>
      <c r="AG582" s="243"/>
      <c r="AH582" s="244"/>
      <c r="AI582" s="243"/>
    </row>
    <row r="583" spans="2:35" ht="14.25" customHeight="1" thickBot="1">
      <c r="B583" s="327" t="s">
        <v>1187</v>
      </c>
      <c r="C583" s="244"/>
      <c r="D583" s="245">
        <f t="shared" si="9"/>
        <v>12752124</v>
      </c>
      <c r="E583" s="243">
        <f>+D583+D582</f>
        <v>114510723</v>
      </c>
      <c r="F583" s="245">
        <v>12752124</v>
      </c>
      <c r="G583" s="243">
        <f>+F582+F583</f>
        <v>114510723</v>
      </c>
      <c r="H583" s="245"/>
      <c r="I583" s="243">
        <f t="shared" ref="I583" si="10">+H582+H583</f>
        <v>0</v>
      </c>
      <c r="J583" s="245"/>
      <c r="K583" s="243">
        <f t="shared" ref="K583" si="11">+J582+J583</f>
        <v>0</v>
      </c>
      <c r="L583" s="245"/>
      <c r="M583" s="243">
        <f t="shared" ref="M583" si="12">+L582+L583</f>
        <v>0</v>
      </c>
      <c r="N583" s="245"/>
      <c r="O583" s="243">
        <f t="shared" ref="O583" si="13">+N582+N583</f>
        <v>0</v>
      </c>
      <c r="P583" s="245"/>
      <c r="Q583" s="243">
        <f t="shared" ref="Q583" si="14">+P582+P583</f>
        <v>0</v>
      </c>
      <c r="R583" s="245"/>
      <c r="S583" s="243">
        <f t="shared" ref="S583" si="15">+R582+R583</f>
        <v>0</v>
      </c>
      <c r="T583" s="245"/>
      <c r="U583" s="243">
        <f t="shared" ref="U583" si="16">+T582+T583</f>
        <v>0</v>
      </c>
      <c r="V583" s="245"/>
      <c r="W583" s="243">
        <f t="shared" ref="W583" si="17">+V582+V583</f>
        <v>0</v>
      </c>
      <c r="X583" s="245"/>
      <c r="Y583" s="243">
        <f t="shared" ref="Y583" si="18">+X582+X583</f>
        <v>0</v>
      </c>
      <c r="Z583" s="245"/>
      <c r="AA583" s="243">
        <f t="shared" ref="AA583" si="19">+Z582+Z583</f>
        <v>0</v>
      </c>
      <c r="AB583" s="245"/>
      <c r="AC583" s="243">
        <f t="shared" ref="AC583" si="20">+AB582+AB583</f>
        <v>0</v>
      </c>
      <c r="AD583" s="245"/>
      <c r="AE583" s="243">
        <f t="shared" ref="AE583" si="21">+AD582+AD583</f>
        <v>0</v>
      </c>
      <c r="AF583" s="245"/>
      <c r="AG583" s="243">
        <f t="shared" ref="AG583" si="22">+AF582+AF583</f>
        <v>0</v>
      </c>
      <c r="AH583" s="245"/>
      <c r="AI583" s="243">
        <f t="shared" ref="AI583" si="23">+AH582+AH583</f>
        <v>0</v>
      </c>
    </row>
    <row r="584" spans="2:35">
      <c r="B584" s="720" t="s">
        <v>220</v>
      </c>
      <c r="C584" s="244"/>
      <c r="D584" s="237"/>
      <c r="E584" s="243">
        <f>G584+I584+K584+M584+O584+Q584+S584+U584+W584+Y584+AA584+AC584+AE584+AG584+AI584</f>
        <v>0</v>
      </c>
      <c r="F584" s="244"/>
      <c r="G584" s="243">
        <v>0</v>
      </c>
      <c r="H584" s="244"/>
      <c r="I584" s="243">
        <v>0</v>
      </c>
      <c r="J584" s="244"/>
      <c r="K584" s="243">
        <v>0</v>
      </c>
      <c r="L584" s="244"/>
      <c r="M584" s="243">
        <v>0</v>
      </c>
      <c r="N584" s="244"/>
      <c r="O584" s="243">
        <v>0</v>
      </c>
      <c r="P584" s="244"/>
      <c r="Q584" s="243">
        <v>0</v>
      </c>
      <c r="R584" s="244"/>
      <c r="S584" s="243">
        <v>0</v>
      </c>
      <c r="T584" s="244"/>
      <c r="U584" s="243">
        <v>0</v>
      </c>
      <c r="V584" s="341"/>
      <c r="W584" s="243">
        <v>0</v>
      </c>
      <c r="X584" s="244"/>
      <c r="Y584" s="243">
        <v>0</v>
      </c>
      <c r="Z584" s="244"/>
      <c r="AA584" s="243">
        <v>0</v>
      </c>
      <c r="AB584" s="244"/>
      <c r="AC584" s="243">
        <v>0</v>
      </c>
      <c r="AD584" s="244"/>
      <c r="AE584" s="243">
        <v>0</v>
      </c>
      <c r="AF584" s="244"/>
      <c r="AG584" s="243">
        <v>0</v>
      </c>
      <c r="AH584" s="244"/>
      <c r="AI584" s="243">
        <v>0</v>
      </c>
    </row>
    <row r="585" spans="2:35" ht="32.25">
      <c r="B585" s="327" t="s">
        <v>219</v>
      </c>
      <c r="C585" s="244"/>
      <c r="D585" s="237"/>
      <c r="E585" s="243">
        <f>G585+I585+K585+M585+O585+Q585+S585+U585+W585+Y585+AA585+AC585+AE585+AG585+AI585</f>
        <v>0</v>
      </c>
      <c r="F585" s="244"/>
      <c r="G585" s="243"/>
      <c r="H585" s="244"/>
      <c r="I585" s="243">
        <v>0</v>
      </c>
      <c r="J585" s="244"/>
      <c r="K585" s="243">
        <v>0</v>
      </c>
      <c r="L585" s="244"/>
      <c r="M585" s="243">
        <v>0</v>
      </c>
      <c r="N585" s="244"/>
      <c r="O585" s="243">
        <v>0</v>
      </c>
      <c r="P585" s="244"/>
      <c r="Q585" s="243">
        <v>0</v>
      </c>
      <c r="R585" s="244"/>
      <c r="S585" s="243">
        <v>0</v>
      </c>
      <c r="T585" s="244"/>
      <c r="U585" s="243">
        <v>0</v>
      </c>
      <c r="V585" s="341"/>
      <c r="W585" s="243">
        <v>0</v>
      </c>
      <c r="X585" s="244"/>
      <c r="Y585" s="243"/>
      <c r="Z585" s="244"/>
      <c r="AA585" s="243">
        <v>0</v>
      </c>
      <c r="AB585" s="244"/>
      <c r="AC585" s="243">
        <v>0</v>
      </c>
      <c r="AD585" s="244"/>
      <c r="AE585" s="243">
        <v>0</v>
      </c>
      <c r="AF585" s="244"/>
      <c r="AG585" s="243">
        <v>0</v>
      </c>
      <c r="AH585" s="244"/>
      <c r="AI585" s="243">
        <v>0</v>
      </c>
    </row>
    <row r="586" spans="2:35">
      <c r="B586" s="327" t="s">
        <v>408</v>
      </c>
      <c r="C586" s="244"/>
      <c r="D586" s="237">
        <f t="shared" ref="D586:D590" si="24">F586+H586+J586+L586+N586+P586+R586+T586+V586+X586+Z586+AB586+AD586+AF586+AH586</f>
        <v>5614705</v>
      </c>
      <c r="E586" s="243"/>
      <c r="F586" s="244">
        <v>863183</v>
      </c>
      <c r="G586" s="243"/>
      <c r="H586" s="244">
        <v>113447</v>
      </c>
      <c r="I586" s="243"/>
      <c r="J586" s="244">
        <v>192926</v>
      </c>
      <c r="K586" s="243"/>
      <c r="L586" s="244">
        <v>39694</v>
      </c>
      <c r="M586" s="243"/>
      <c r="N586" s="244">
        <v>98433</v>
      </c>
      <c r="O586" s="243"/>
      <c r="P586" s="244">
        <v>220023</v>
      </c>
      <c r="Q586" s="243"/>
      <c r="R586" s="244">
        <v>57453</v>
      </c>
      <c r="S586" s="243"/>
      <c r="T586" s="244">
        <v>2978704</v>
      </c>
      <c r="U586" s="243"/>
      <c r="V586" s="341">
        <v>177562</v>
      </c>
      <c r="W586" s="243"/>
      <c r="X586" s="756">
        <v>97372</v>
      </c>
      <c r="Y586" s="243"/>
      <c r="Z586" s="244">
        <v>123756</v>
      </c>
      <c r="AA586" s="243"/>
      <c r="AB586" s="244">
        <v>96812</v>
      </c>
      <c r="AC586" s="243"/>
      <c r="AD586" s="244">
        <v>227479</v>
      </c>
      <c r="AE586" s="243"/>
      <c r="AF586" s="244">
        <v>164904</v>
      </c>
      <c r="AG586" s="243"/>
      <c r="AH586" s="244">
        <v>162957</v>
      </c>
      <c r="AI586" s="243"/>
    </row>
    <row r="587" spans="2:35">
      <c r="B587" s="327" t="s">
        <v>409</v>
      </c>
      <c r="C587" s="244"/>
      <c r="D587" s="237">
        <f t="shared" si="24"/>
        <v>110212919</v>
      </c>
      <c r="E587" s="243"/>
      <c r="F587" s="244">
        <v>21903976</v>
      </c>
      <c r="G587" s="243"/>
      <c r="H587" s="244">
        <v>175362</v>
      </c>
      <c r="I587" s="243"/>
      <c r="J587" s="244">
        <v>10705285</v>
      </c>
      <c r="K587" s="243"/>
      <c r="L587" s="244">
        <v>1606089</v>
      </c>
      <c r="M587" s="243"/>
      <c r="N587" s="244">
        <v>6560</v>
      </c>
      <c r="O587" s="243"/>
      <c r="P587" s="244">
        <f>46375334+1</f>
        <v>46375335</v>
      </c>
      <c r="Q587" s="243"/>
      <c r="R587" s="244">
        <v>11470</v>
      </c>
      <c r="S587" s="243"/>
      <c r="T587" s="244">
        <v>5481903</v>
      </c>
      <c r="U587" s="243"/>
      <c r="V587" s="341">
        <v>3770268</v>
      </c>
      <c r="W587" s="243"/>
      <c r="X587" s="756">
        <v>500</v>
      </c>
      <c r="Y587" s="243"/>
      <c r="Z587" s="244">
        <v>9548831</v>
      </c>
      <c r="AA587" s="243"/>
      <c r="AB587" s="244">
        <v>715108</v>
      </c>
      <c r="AC587" s="243"/>
      <c r="AD587" s="244">
        <v>5030838</v>
      </c>
      <c r="AE587" s="243"/>
      <c r="AF587" s="244">
        <v>4879504</v>
      </c>
      <c r="AG587" s="243"/>
      <c r="AH587" s="244">
        <v>1890</v>
      </c>
      <c r="AI587" s="243"/>
    </row>
    <row r="588" spans="2:35">
      <c r="B588" s="327" t="s">
        <v>410</v>
      </c>
      <c r="C588" s="244"/>
      <c r="D588" s="237">
        <f t="shared" si="24"/>
        <v>150741511</v>
      </c>
      <c r="E588" s="243"/>
      <c r="F588" s="244">
        <v>27771564</v>
      </c>
      <c r="G588" s="243"/>
      <c r="H588" s="244"/>
      <c r="I588" s="243"/>
      <c r="J588" s="244"/>
      <c r="K588" s="243"/>
      <c r="L588" s="244"/>
      <c r="M588" s="243"/>
      <c r="N588" s="244">
        <v>4520068</v>
      </c>
      <c r="O588" s="243"/>
      <c r="P588" s="244">
        <v>544020</v>
      </c>
      <c r="Q588" s="243"/>
      <c r="R588" s="244">
        <v>6184593</v>
      </c>
      <c r="S588" s="243"/>
      <c r="T588" s="244">
        <v>796205</v>
      </c>
      <c r="U588" s="243"/>
      <c r="V588" s="341"/>
      <c r="W588" s="243"/>
      <c r="X588" s="756">
        <v>6196554</v>
      </c>
      <c r="Y588" s="243"/>
      <c r="Z588" s="244">
        <v>21259</v>
      </c>
      <c r="AA588" s="243"/>
      <c r="AB588" s="244">
        <v>1678074</v>
      </c>
      <c r="AC588" s="243"/>
      <c r="AD588" s="244">
        <v>9391944</v>
      </c>
      <c r="AE588" s="243"/>
      <c r="AF588" s="244">
        <v>93575413</v>
      </c>
      <c r="AG588" s="243"/>
      <c r="AH588" s="244">
        <v>61817</v>
      </c>
      <c r="AI588" s="243"/>
    </row>
    <row r="589" spans="2:35">
      <c r="B589" s="327" t="s">
        <v>983</v>
      </c>
      <c r="C589" s="244"/>
      <c r="D589" s="237">
        <f t="shared" si="24"/>
        <v>1496888</v>
      </c>
      <c r="E589" s="243"/>
      <c r="F589" s="237"/>
      <c r="G589" s="243"/>
      <c r="H589" s="237"/>
      <c r="I589" s="243"/>
      <c r="J589" s="237">
        <v>970967</v>
      </c>
      <c r="K589" s="243"/>
      <c r="L589" s="237"/>
      <c r="M589" s="243"/>
      <c r="N589" s="237"/>
      <c r="O589" s="243"/>
      <c r="P589" s="237"/>
      <c r="Q589" s="243"/>
      <c r="R589" s="237"/>
      <c r="S589" s="243"/>
      <c r="T589" s="237"/>
      <c r="U589" s="243"/>
      <c r="V589" s="348"/>
      <c r="W589" s="243"/>
      <c r="X589" s="237"/>
      <c r="Y589" s="243"/>
      <c r="Z589" s="237">
        <v>525921</v>
      </c>
      <c r="AA589" s="243"/>
      <c r="AB589" s="237"/>
      <c r="AC589" s="243"/>
      <c r="AD589" s="237"/>
      <c r="AE589" s="243"/>
      <c r="AF589" s="237"/>
      <c r="AG589" s="243"/>
      <c r="AH589" s="237"/>
      <c r="AI589" s="243"/>
    </row>
    <row r="590" spans="2:35" ht="12" thickBot="1">
      <c r="B590" s="327" t="s">
        <v>984</v>
      </c>
      <c r="C590" s="244"/>
      <c r="D590" s="245">
        <f t="shared" si="24"/>
        <v>0</v>
      </c>
      <c r="E590" s="243">
        <f>SUM(D586:D590)</f>
        <v>268066023</v>
      </c>
      <c r="F590" s="245"/>
      <c r="G590" s="243">
        <f>SUM(F586:F590)</f>
        <v>50538723</v>
      </c>
      <c r="H590" s="245"/>
      <c r="I590" s="243">
        <f>SUM(H586:H590)</f>
        <v>288809</v>
      </c>
      <c r="J590" s="245"/>
      <c r="K590" s="243">
        <f>SUM(J586:J590)</f>
        <v>11869178</v>
      </c>
      <c r="L590" s="245"/>
      <c r="M590" s="243">
        <f>SUM(L586:L590)</f>
        <v>1645783</v>
      </c>
      <c r="N590" s="245"/>
      <c r="O590" s="243">
        <f>SUM(N586:N590)</f>
        <v>4625061</v>
      </c>
      <c r="P590" s="245"/>
      <c r="Q590" s="243">
        <f>SUM(P586:P590)</f>
        <v>47139378</v>
      </c>
      <c r="R590" s="245"/>
      <c r="S590" s="243">
        <f>SUM(R586:R590)</f>
        <v>6253516</v>
      </c>
      <c r="T590" s="245"/>
      <c r="U590" s="243">
        <f>SUM(T586:T590)</f>
        <v>9256812</v>
      </c>
      <c r="V590" s="344"/>
      <c r="W590" s="243">
        <f>SUM(V586:V590)</f>
        <v>3947830</v>
      </c>
      <c r="X590" s="245"/>
      <c r="Y590" s="243">
        <f>SUM(X586:X590)</f>
        <v>6294426</v>
      </c>
      <c r="Z590" s="245"/>
      <c r="AA590" s="243">
        <f>SUM(Z586:Z590)</f>
        <v>10219767</v>
      </c>
      <c r="AB590" s="245"/>
      <c r="AC590" s="243">
        <f>SUM(AB586:AB590)</f>
        <v>2489994</v>
      </c>
      <c r="AD590" s="245"/>
      <c r="AE590" s="243">
        <f>SUM(AD586:AD590)</f>
        <v>14650261</v>
      </c>
      <c r="AF590" s="245"/>
      <c r="AG590" s="243">
        <f>SUM(AF586:AF590)</f>
        <v>98619821</v>
      </c>
      <c r="AH590" s="245"/>
      <c r="AI590" s="243">
        <f>SUM(AH586:AH590)</f>
        <v>226664</v>
      </c>
    </row>
    <row r="591" spans="2:35">
      <c r="B591" s="327"/>
      <c r="C591" s="244"/>
      <c r="D591" s="237"/>
      <c r="E591" s="243"/>
      <c r="F591" s="237"/>
      <c r="G591" s="243"/>
      <c r="H591" s="237"/>
      <c r="I591" s="243"/>
      <c r="J591" s="237"/>
      <c r="K591" s="243"/>
      <c r="L591" s="237"/>
      <c r="M591" s="243"/>
      <c r="N591" s="237"/>
      <c r="O591" s="243"/>
      <c r="P591" s="237"/>
      <c r="Q591" s="243"/>
      <c r="R591" s="237"/>
      <c r="S591" s="243"/>
      <c r="T591" s="237"/>
      <c r="U591" s="243"/>
      <c r="V591" s="348"/>
      <c r="W591" s="243"/>
      <c r="X591" s="237"/>
      <c r="Y591" s="243"/>
      <c r="Z591" s="237"/>
      <c r="AA591" s="243"/>
      <c r="AB591" s="237"/>
      <c r="AC591" s="243"/>
      <c r="AD591" s="237"/>
      <c r="AE591" s="243"/>
      <c r="AF591" s="237"/>
      <c r="AG591" s="243"/>
      <c r="AH591" s="237"/>
      <c r="AI591" s="243"/>
    </row>
    <row r="592" spans="2:35" ht="12" thickBot="1">
      <c r="B592" s="784" t="s">
        <v>806</v>
      </c>
      <c r="C592" s="244"/>
      <c r="D592" s="237"/>
      <c r="E592" s="246">
        <f>SUM(E578:E591)</f>
        <v>3179051649</v>
      </c>
      <c r="F592" s="237"/>
      <c r="G592" s="246">
        <f>SUM(G578:G591)</f>
        <v>2014262215</v>
      </c>
      <c r="H592" s="237"/>
      <c r="I592" s="246">
        <f>SUM(I578:I591)</f>
        <v>79733299</v>
      </c>
      <c r="J592" s="237"/>
      <c r="K592" s="246">
        <f>SUM(K578:K591)</f>
        <v>22134758</v>
      </c>
      <c r="L592" s="237"/>
      <c r="M592" s="246">
        <f>SUM(M578:M591)</f>
        <v>89373797</v>
      </c>
      <c r="N592" s="237"/>
      <c r="O592" s="246">
        <f>SUM(O578:O591)</f>
        <v>5975849</v>
      </c>
      <c r="P592" s="237"/>
      <c r="Q592" s="246">
        <f>SUM(Q578:Q591)</f>
        <v>157389564</v>
      </c>
      <c r="R592" s="237"/>
      <c r="S592" s="246">
        <f>SUM(S578:S591)</f>
        <v>8819660</v>
      </c>
      <c r="T592" s="237"/>
      <c r="U592" s="246">
        <f>SUM(U578:U591)</f>
        <v>175893550</v>
      </c>
      <c r="V592" s="348"/>
      <c r="W592" s="246">
        <f>SUM(W578:W591)</f>
        <v>98373932</v>
      </c>
      <c r="X592" s="237"/>
      <c r="Y592" s="246">
        <f>SUM(Y578:Y591)</f>
        <v>9054253</v>
      </c>
      <c r="Z592" s="237"/>
      <c r="AA592" s="246">
        <f>SUM(AA578:AA591)</f>
        <v>25838175</v>
      </c>
      <c r="AB592" s="237"/>
      <c r="AC592" s="246">
        <f>SUM(AC578:AC591)</f>
        <v>35365164</v>
      </c>
      <c r="AD592" s="237"/>
      <c r="AE592" s="246">
        <f>SUM(AE578:AE591)</f>
        <v>65388259</v>
      </c>
      <c r="AF592" s="237"/>
      <c r="AG592" s="246">
        <f>SUM(AG578:AG591)</f>
        <v>391050331</v>
      </c>
      <c r="AH592" s="237"/>
      <c r="AI592" s="246">
        <f>SUM(AI578:AI591)</f>
        <v>398843</v>
      </c>
    </row>
    <row r="593" spans="2:35" ht="12.75" thickTop="1" thickBot="1">
      <c r="B593" s="245"/>
      <c r="C593" s="248"/>
      <c r="D593" s="245"/>
      <c r="E593" s="247"/>
      <c r="F593" s="248"/>
      <c r="G593" s="247"/>
      <c r="H593" s="248"/>
      <c r="I593" s="247"/>
      <c r="J593" s="248"/>
      <c r="K593" s="247"/>
      <c r="L593" s="248"/>
      <c r="M593" s="247"/>
      <c r="N593" s="248"/>
      <c r="O593" s="247"/>
      <c r="P593" s="248"/>
      <c r="Q593" s="247"/>
      <c r="R593" s="248"/>
      <c r="S593" s="247"/>
      <c r="T593" s="248"/>
      <c r="U593" s="247"/>
      <c r="V593" s="384"/>
      <c r="W593" s="247"/>
      <c r="X593" s="248"/>
      <c r="Y593" s="247"/>
      <c r="Z593" s="248"/>
      <c r="AA593" s="247"/>
      <c r="AB593" s="248"/>
      <c r="AC593" s="247"/>
      <c r="AD593" s="248"/>
      <c r="AE593" s="247"/>
      <c r="AF593" s="248"/>
      <c r="AG593" s="247"/>
      <c r="AH593" s="248"/>
      <c r="AI593" s="247"/>
    </row>
    <row r="595" spans="2:35" ht="55.5" hidden="1" customHeight="1">
      <c r="B595" s="1475" t="s">
        <v>933</v>
      </c>
      <c r="C595" s="1475"/>
      <c r="D595" s="1475"/>
      <c r="E595" s="1475"/>
      <c r="F595" s="1475"/>
      <c r="G595" s="1475"/>
    </row>
    <row r="597" spans="2:35">
      <c r="B597" s="419" t="s">
        <v>554</v>
      </c>
    </row>
    <row r="598" spans="2:35" ht="12" thickBot="1">
      <c r="G598" s="335" t="s">
        <v>247</v>
      </c>
    </row>
    <row r="599" spans="2:35" ht="12" thickBot="1">
      <c r="B599" s="445"/>
      <c r="C599" s="250"/>
      <c r="D599" s="1463" t="s">
        <v>860</v>
      </c>
      <c r="E599" s="1464"/>
      <c r="F599" s="1463" t="s">
        <v>17</v>
      </c>
      <c r="G599" s="1464"/>
      <c r="H599" s="1463" t="s">
        <v>18</v>
      </c>
      <c r="I599" s="1464"/>
      <c r="J599" s="1463" t="s">
        <v>19</v>
      </c>
      <c r="K599" s="1464"/>
      <c r="L599" s="1463" t="s">
        <v>20</v>
      </c>
      <c r="M599" s="1464"/>
      <c r="N599" s="1463" t="s">
        <v>21</v>
      </c>
      <c r="O599" s="1464"/>
      <c r="P599" s="1463" t="s">
        <v>22</v>
      </c>
      <c r="Q599" s="1464"/>
      <c r="R599" s="1463" t="s">
        <v>23</v>
      </c>
      <c r="S599" s="1464"/>
      <c r="T599" s="1463" t="s">
        <v>24</v>
      </c>
      <c r="U599" s="1464"/>
      <c r="V599" s="1463" t="s">
        <v>25</v>
      </c>
      <c r="W599" s="1464"/>
      <c r="X599" s="1463" t="s">
        <v>26</v>
      </c>
      <c r="Y599" s="1464"/>
      <c r="Z599" s="1463" t="s">
        <v>27</v>
      </c>
      <c r="AA599" s="1464"/>
      <c r="AB599" s="1463" t="s">
        <v>28</v>
      </c>
      <c r="AC599" s="1464"/>
      <c r="AD599" s="1463" t="s">
        <v>29</v>
      </c>
      <c r="AE599" s="1464"/>
      <c r="AF599" s="1463" t="s">
        <v>30</v>
      </c>
      <c r="AG599" s="1464"/>
      <c r="AH599" s="1463" t="s">
        <v>31</v>
      </c>
      <c r="AI599" s="1464"/>
    </row>
    <row r="600" spans="2:35">
      <c r="B600" s="351" t="s">
        <v>599</v>
      </c>
      <c r="C600" s="251"/>
      <c r="D600" s="249"/>
      <c r="E600" s="250">
        <f>G600+I600+K600+M600+O600+Q600+S600+U600+W600+Y600+AA600+AC600+AE600+AG600+AI600</f>
        <v>2677606258</v>
      </c>
      <c r="F600" s="251"/>
      <c r="G600" s="250"/>
      <c r="H600" s="251"/>
      <c r="I600" s="250"/>
      <c r="J600" s="251"/>
      <c r="K600" s="250"/>
      <c r="L600" s="251"/>
      <c r="M600" s="250"/>
      <c r="N600" s="251"/>
      <c r="O600" s="250"/>
      <c r="P600" s="251"/>
      <c r="Q600" s="250"/>
      <c r="R600" s="251"/>
      <c r="S600" s="250"/>
      <c r="T600" s="251"/>
      <c r="U600" s="250"/>
      <c r="V600" s="427"/>
      <c r="W600" s="250"/>
      <c r="X600" s="251"/>
      <c r="Y600" s="250"/>
      <c r="Z600" s="251"/>
      <c r="AA600" s="250"/>
      <c r="AB600" s="251"/>
      <c r="AC600" s="250"/>
      <c r="AD600" s="251"/>
      <c r="AE600" s="250">
        <v>2677606258</v>
      </c>
      <c r="AF600" s="251"/>
      <c r="AG600" s="250"/>
      <c r="AH600" s="251"/>
      <c r="AI600" s="250"/>
    </row>
    <row r="601" spans="2:35">
      <c r="B601" s="327" t="s">
        <v>600</v>
      </c>
      <c r="C601" s="244"/>
      <c r="D601" s="237"/>
      <c r="E601" s="243">
        <f>G601+I601+K601+M601+O601+Q601+S601+U601+W601+Y601+AA601+AC601+AE601+AG601+AI601</f>
        <v>0</v>
      </c>
      <c r="F601" s="244"/>
      <c r="G601" s="243"/>
      <c r="H601" s="244"/>
      <c r="I601" s="243"/>
      <c r="J601" s="244"/>
      <c r="K601" s="243"/>
      <c r="L601" s="244"/>
      <c r="M601" s="243"/>
      <c r="N601" s="244"/>
      <c r="O601" s="243"/>
      <c r="P601" s="244"/>
      <c r="Q601" s="243"/>
      <c r="R601" s="244"/>
      <c r="S601" s="243"/>
      <c r="T601" s="244"/>
      <c r="U601" s="243"/>
      <c r="V601" s="341"/>
      <c r="W601" s="243"/>
      <c r="X601" s="244"/>
      <c r="Y601" s="243"/>
      <c r="Z601" s="244"/>
      <c r="AA601" s="243"/>
      <c r="AB601" s="244"/>
      <c r="AC601" s="243"/>
      <c r="AD601" s="244"/>
      <c r="AE601" s="243">
        <v>0</v>
      </c>
      <c r="AF601" s="244"/>
      <c r="AG601" s="243"/>
      <c r="AH601" s="244"/>
      <c r="AI601" s="243"/>
    </row>
    <row r="602" spans="2:35">
      <c r="B602" s="327" t="s">
        <v>601</v>
      </c>
      <c r="C602" s="244"/>
      <c r="D602" s="237"/>
      <c r="E602" s="243">
        <f>G602+I602+K602+M602+O602+Q602+S602+U602+W602+Y602+AA602+AC602+AE602+AG602+AI602</f>
        <v>0</v>
      </c>
      <c r="F602" s="244"/>
      <c r="G602" s="243"/>
      <c r="H602" s="244"/>
      <c r="I602" s="243"/>
      <c r="J602" s="244"/>
      <c r="K602" s="243"/>
      <c r="L602" s="244"/>
      <c r="M602" s="243"/>
      <c r="N602" s="244"/>
      <c r="O602" s="243"/>
      <c r="P602" s="244"/>
      <c r="Q602" s="243"/>
      <c r="R602" s="244"/>
      <c r="S602" s="243"/>
      <c r="T602" s="244"/>
      <c r="U602" s="243"/>
      <c r="V602" s="341"/>
      <c r="W602" s="243"/>
      <c r="X602" s="244"/>
      <c r="Y602" s="243"/>
      <c r="Z602" s="244"/>
      <c r="AA602" s="243"/>
      <c r="AB602" s="244"/>
      <c r="AC602" s="243"/>
      <c r="AD602" s="244"/>
      <c r="AE602" s="243"/>
      <c r="AF602" s="244"/>
      <c r="AG602" s="243"/>
      <c r="AH602" s="244"/>
      <c r="AI602" s="243"/>
    </row>
    <row r="603" spans="2:35">
      <c r="B603" s="327" t="s">
        <v>602</v>
      </c>
      <c r="C603" s="244"/>
      <c r="D603" s="237"/>
      <c r="E603" s="243">
        <f>G603+I603+K603+M603+O603+Q603+S603+U603+W603+Y603+AA603+AC603+AE603+AG603+AI603</f>
        <v>0</v>
      </c>
      <c r="F603" s="244"/>
      <c r="G603" s="243"/>
      <c r="H603" s="244"/>
      <c r="I603" s="243"/>
      <c r="J603" s="244"/>
      <c r="K603" s="243"/>
      <c r="L603" s="244"/>
      <c r="M603" s="243"/>
      <c r="N603" s="244"/>
      <c r="O603" s="243"/>
      <c r="P603" s="244"/>
      <c r="Q603" s="243"/>
      <c r="R603" s="244"/>
      <c r="S603" s="243"/>
      <c r="T603" s="244"/>
      <c r="U603" s="243"/>
      <c r="V603" s="341"/>
      <c r="W603" s="243"/>
      <c r="X603" s="244"/>
      <c r="Y603" s="243"/>
      <c r="Z603" s="244"/>
      <c r="AA603" s="243"/>
      <c r="AB603" s="244"/>
      <c r="AC603" s="243"/>
      <c r="AD603" s="244"/>
      <c r="AE603" s="243"/>
      <c r="AF603" s="244"/>
      <c r="AG603" s="243"/>
      <c r="AH603" s="244"/>
      <c r="AI603" s="243"/>
    </row>
    <row r="604" spans="2:35">
      <c r="B604" s="327"/>
      <c r="C604" s="244"/>
      <c r="D604" s="237"/>
      <c r="E604" s="243"/>
      <c r="F604" s="244"/>
      <c r="G604" s="243"/>
      <c r="H604" s="244"/>
      <c r="I604" s="243"/>
      <c r="J604" s="244"/>
      <c r="K604" s="243"/>
      <c r="L604" s="244"/>
      <c r="M604" s="243"/>
      <c r="N604" s="244"/>
      <c r="O604" s="243"/>
      <c r="P604" s="244"/>
      <c r="Q604" s="243"/>
      <c r="R604" s="244"/>
      <c r="S604" s="243"/>
      <c r="T604" s="244"/>
      <c r="U604" s="243"/>
      <c r="V604" s="341"/>
      <c r="W604" s="243"/>
      <c r="X604" s="244"/>
      <c r="Y604" s="243"/>
      <c r="Z604" s="244"/>
      <c r="AA604" s="243"/>
      <c r="AB604" s="244"/>
      <c r="AC604" s="243"/>
      <c r="AD604" s="244"/>
      <c r="AE604" s="243"/>
      <c r="AF604" s="244"/>
      <c r="AG604" s="243"/>
      <c r="AH604" s="244"/>
      <c r="AI604" s="243"/>
    </row>
    <row r="605" spans="2:35" ht="12" thickBot="1">
      <c r="B605" s="327" t="s">
        <v>806</v>
      </c>
      <c r="C605" s="244"/>
      <c r="D605" s="237"/>
      <c r="E605" s="246">
        <f>SUM(E600:E604)</f>
        <v>2677606258</v>
      </c>
      <c r="F605" s="244"/>
      <c r="G605" s="246">
        <f>SUM(G600:G604)</f>
        <v>0</v>
      </c>
      <c r="H605" s="244"/>
      <c r="I605" s="246">
        <f>SUM(I600:I604)</f>
        <v>0</v>
      </c>
      <c r="J605" s="244"/>
      <c r="K605" s="246">
        <f>SUM(K600:K604)</f>
        <v>0</v>
      </c>
      <c r="L605" s="244"/>
      <c r="M605" s="246">
        <f>SUM(M600:M604)</f>
        <v>0</v>
      </c>
      <c r="N605" s="244"/>
      <c r="O605" s="246">
        <f>SUM(O600:O604)</f>
        <v>0</v>
      </c>
      <c r="P605" s="244"/>
      <c r="Q605" s="246">
        <f>SUM(Q600:Q604)</f>
        <v>0</v>
      </c>
      <c r="R605" s="244"/>
      <c r="S605" s="246">
        <f>SUM(S600:S604)</f>
        <v>0</v>
      </c>
      <c r="T605" s="244"/>
      <c r="U605" s="246">
        <f>SUM(U600:U604)</f>
        <v>0</v>
      </c>
      <c r="V605" s="341"/>
      <c r="W605" s="246">
        <f>SUM(W600:W604)</f>
        <v>0</v>
      </c>
      <c r="X605" s="244"/>
      <c r="Y605" s="246">
        <f>SUM(Y600:Y604)</f>
        <v>0</v>
      </c>
      <c r="Z605" s="244"/>
      <c r="AA605" s="246">
        <f>SUM(AA600:AA604)</f>
        <v>0</v>
      </c>
      <c r="AB605" s="244"/>
      <c r="AC605" s="246">
        <f>SUM(AC600:AC604)</f>
        <v>0</v>
      </c>
      <c r="AD605" s="244"/>
      <c r="AE605" s="246">
        <f>SUM(AE600:AE604)</f>
        <v>2677606258</v>
      </c>
      <c r="AF605" s="244"/>
      <c r="AG605" s="246">
        <f>SUM(AG600:AG604)</f>
        <v>0</v>
      </c>
      <c r="AH605" s="244"/>
      <c r="AI605" s="246">
        <f>SUM(AI600:AI604)</f>
        <v>0</v>
      </c>
    </row>
    <row r="606" spans="2:35" ht="12.75" thickTop="1" thickBot="1">
      <c r="B606" s="245"/>
      <c r="C606" s="248"/>
      <c r="D606" s="245"/>
      <c r="E606" s="247"/>
      <c r="F606" s="248"/>
      <c r="G606" s="247"/>
      <c r="H606" s="248"/>
      <c r="I606" s="247"/>
      <c r="J606" s="248"/>
      <c r="K606" s="247"/>
      <c r="L606" s="248"/>
      <c r="M606" s="247"/>
      <c r="N606" s="248"/>
      <c r="O606" s="247"/>
      <c r="P606" s="248"/>
      <c r="Q606" s="247"/>
      <c r="R606" s="248"/>
      <c r="S606" s="247"/>
      <c r="T606" s="248"/>
      <c r="U606" s="247"/>
      <c r="V606" s="384"/>
      <c r="W606" s="247"/>
      <c r="X606" s="248"/>
      <c r="Y606" s="247"/>
      <c r="Z606" s="248"/>
      <c r="AA606" s="247"/>
      <c r="AB606" s="248"/>
      <c r="AC606" s="247"/>
      <c r="AD606" s="248"/>
      <c r="AE606" s="247"/>
      <c r="AF606" s="248"/>
      <c r="AG606" s="247"/>
      <c r="AH606" s="248"/>
      <c r="AI606" s="247"/>
    </row>
    <row r="608" spans="2:35">
      <c r="B608" s="419" t="s">
        <v>555</v>
      </c>
    </row>
    <row r="609" spans="2:35" ht="12.75" thickBot="1">
      <c r="B609" s="446"/>
      <c r="G609" s="335" t="s">
        <v>247</v>
      </c>
    </row>
    <row r="610" spans="2:35" ht="12" thickBot="1">
      <c r="B610" s="365" t="s">
        <v>604</v>
      </c>
      <c r="C610" s="274"/>
      <c r="D610" s="1473" t="s">
        <v>860</v>
      </c>
      <c r="E610" s="1474"/>
      <c r="F610" s="1473" t="s">
        <v>17</v>
      </c>
      <c r="G610" s="1474"/>
      <c r="H610" s="1473" t="s">
        <v>18</v>
      </c>
      <c r="I610" s="1474"/>
      <c r="J610" s="1473" t="s">
        <v>19</v>
      </c>
      <c r="K610" s="1474"/>
      <c r="L610" s="1473" t="s">
        <v>20</v>
      </c>
      <c r="M610" s="1474"/>
      <c r="N610" s="1473" t="s">
        <v>21</v>
      </c>
      <c r="O610" s="1474"/>
      <c r="P610" s="1473" t="s">
        <v>22</v>
      </c>
      <c r="Q610" s="1474"/>
      <c r="R610" s="1473" t="s">
        <v>23</v>
      </c>
      <c r="S610" s="1474"/>
      <c r="T610" s="1473" t="s">
        <v>24</v>
      </c>
      <c r="U610" s="1474"/>
      <c r="V610" s="1473" t="s">
        <v>25</v>
      </c>
      <c r="W610" s="1474"/>
      <c r="X610" s="1473" t="s">
        <v>26</v>
      </c>
      <c r="Y610" s="1474"/>
      <c r="Z610" s="1473" t="s">
        <v>27</v>
      </c>
      <c r="AA610" s="1474"/>
      <c r="AB610" s="1473" t="s">
        <v>28</v>
      </c>
      <c r="AC610" s="1474"/>
      <c r="AD610" s="1473" t="s">
        <v>29</v>
      </c>
      <c r="AE610" s="1474"/>
      <c r="AF610" s="1473" t="s">
        <v>30</v>
      </c>
      <c r="AG610" s="1474"/>
      <c r="AH610" s="1473" t="s">
        <v>31</v>
      </c>
      <c r="AI610" s="1474"/>
    </row>
    <row r="611" spans="2:35" ht="12">
      <c r="B611" s="671" t="s">
        <v>498</v>
      </c>
      <c r="C611" s="251"/>
      <c r="D611" s="668"/>
      <c r="E611" s="669"/>
      <c r="F611" s="668"/>
      <c r="G611" s="670"/>
      <c r="H611" s="669"/>
      <c r="I611" s="670"/>
      <c r="J611" s="668"/>
      <c r="K611" s="669"/>
      <c r="L611" s="668"/>
      <c r="M611" s="670"/>
      <c r="N611" s="669"/>
      <c r="O611" s="669"/>
      <c r="P611" s="668"/>
      <c r="Q611" s="670"/>
      <c r="R611" s="669"/>
      <c r="S611" s="669"/>
      <c r="T611" s="668"/>
      <c r="U611" s="670"/>
      <c r="V611" s="669"/>
      <c r="W611" s="669"/>
      <c r="X611" s="668"/>
      <c r="Y611" s="670"/>
      <c r="Z611" s="669"/>
      <c r="AA611" s="669"/>
      <c r="AB611" s="668"/>
      <c r="AC611" s="670"/>
      <c r="AD611" s="668"/>
      <c r="AE611" s="670"/>
      <c r="AF611" s="669"/>
      <c r="AG611" s="669"/>
      <c r="AH611" s="668"/>
      <c r="AI611" s="670"/>
    </row>
    <row r="612" spans="2:35">
      <c r="B612" s="327" t="s">
        <v>605</v>
      </c>
      <c r="C612" s="244"/>
      <c r="D612" s="237">
        <f t="shared" ref="D612:D618" si="25">F612+H612+J612+L612+N612+P612+R612+T612+V612+X612+Z612+AB612+AD612+AF612+AH612</f>
        <v>127402950788</v>
      </c>
      <c r="E612" s="244"/>
      <c r="F612" s="237"/>
      <c r="G612" s="447"/>
      <c r="H612" s="244">
        <v>7007917912</v>
      </c>
      <c r="I612" s="243"/>
      <c r="J612" s="237">
        <v>2302969980</v>
      </c>
      <c r="K612" s="244"/>
      <c r="L612" s="237">
        <v>7285511540</v>
      </c>
      <c r="M612" s="243"/>
      <c r="N612" s="244">
        <v>1426476</v>
      </c>
      <c r="O612" s="244"/>
      <c r="P612" s="237">
        <v>7158532756</v>
      </c>
      <c r="Q612" s="243"/>
      <c r="R612" s="244">
        <v>730224054</v>
      </c>
      <c r="S612" s="244"/>
      <c r="T612" s="237">
        <v>2032084164</v>
      </c>
      <c r="U612" s="243"/>
      <c r="V612" s="244">
        <f>19466612191-1</f>
        <v>19466612190</v>
      </c>
      <c r="W612" s="244"/>
      <c r="X612" s="348">
        <v>979639708</v>
      </c>
      <c r="Y612" s="243"/>
      <c r="Z612" s="244">
        <v>35908256789</v>
      </c>
      <c r="AA612" s="244"/>
      <c r="AB612" s="237">
        <v>19564880</v>
      </c>
      <c r="AC612" s="243"/>
      <c r="AD612" s="237">
        <f>23549372005-AE600</f>
        <v>20871765747</v>
      </c>
      <c r="AE612" s="243"/>
      <c r="AF612" s="341">
        <v>23638444592</v>
      </c>
      <c r="AG612" s="244"/>
      <c r="AH612" s="237"/>
      <c r="AI612" s="243"/>
    </row>
    <row r="613" spans="2:35">
      <c r="B613" s="327" t="s">
        <v>606</v>
      </c>
      <c r="C613" s="244"/>
      <c r="D613" s="237">
        <f t="shared" si="25"/>
        <v>14602486752</v>
      </c>
      <c r="E613" s="244"/>
      <c r="F613" s="237"/>
      <c r="G613" s="243"/>
      <c r="H613" s="244">
        <v>32140428</v>
      </c>
      <c r="I613" s="243"/>
      <c r="J613" s="237">
        <v>49209909</v>
      </c>
      <c r="K613" s="244"/>
      <c r="L613" s="237">
        <v>233960271</v>
      </c>
      <c r="M613" s="243"/>
      <c r="N613" s="244"/>
      <c r="O613" s="244"/>
      <c r="P613" s="237">
        <v>488750498</v>
      </c>
      <c r="Q613" s="243"/>
      <c r="R613" s="244"/>
      <c r="S613" s="244"/>
      <c r="T613" s="237">
        <v>10206708889</v>
      </c>
      <c r="U613" s="243"/>
      <c r="V613" s="244">
        <v>2702938559</v>
      </c>
      <c r="W613" s="244"/>
      <c r="X613" s="237"/>
      <c r="Y613" s="243"/>
      <c r="Z613" s="244"/>
      <c r="AA613" s="244"/>
      <c r="AB613" s="237">
        <v>208100157</v>
      </c>
      <c r="AC613" s="243"/>
      <c r="AD613" s="237">
        <v>0</v>
      </c>
      <c r="AE613" s="243"/>
      <c r="AF613" s="341">
        <v>680678041</v>
      </c>
      <c r="AG613" s="244"/>
      <c r="AH613" s="237"/>
      <c r="AI613" s="243"/>
    </row>
    <row r="614" spans="2:35">
      <c r="B614" s="327" t="s">
        <v>607</v>
      </c>
      <c r="C614" s="244"/>
      <c r="D614" s="237">
        <f t="shared" si="25"/>
        <v>18923199732</v>
      </c>
      <c r="E614" s="244"/>
      <c r="F614" s="237">
        <v>11426611676</v>
      </c>
      <c r="G614" s="447"/>
      <c r="H614" s="244"/>
      <c r="I614" s="243"/>
      <c r="J614" s="237">
        <v>10046627</v>
      </c>
      <c r="K614" s="244"/>
      <c r="L614" s="237">
        <v>0</v>
      </c>
      <c r="M614" s="243"/>
      <c r="N614" s="244"/>
      <c r="O614" s="244"/>
      <c r="P614" s="237">
        <v>5051332928</v>
      </c>
      <c r="Q614" s="243"/>
      <c r="R614" s="244"/>
      <c r="S614" s="244"/>
      <c r="T614" s="237">
        <v>76321150</v>
      </c>
      <c r="U614" s="243"/>
      <c r="V614" s="244">
        <v>1611503294</v>
      </c>
      <c r="W614" s="244"/>
      <c r="X614" s="237"/>
      <c r="Y614" s="243"/>
      <c r="Z614" s="244"/>
      <c r="AA614" s="244"/>
      <c r="AB614" s="237"/>
      <c r="AC614" s="243"/>
      <c r="AD614" s="237">
        <v>0</v>
      </c>
      <c r="AE614" s="243"/>
      <c r="AF614" s="341">
        <v>747384057</v>
      </c>
      <c r="AG614" s="244"/>
      <c r="AH614" s="237"/>
      <c r="AI614" s="243"/>
    </row>
    <row r="615" spans="2:35">
      <c r="B615" s="327" t="s">
        <v>608</v>
      </c>
      <c r="C615" s="244"/>
      <c r="D615" s="237">
        <f t="shared" si="25"/>
        <v>15141845211</v>
      </c>
      <c r="E615" s="244"/>
      <c r="F615" s="237"/>
      <c r="G615" s="243"/>
      <c r="H615" s="244"/>
      <c r="I615" s="243"/>
      <c r="J615" s="237"/>
      <c r="K615" s="244"/>
      <c r="L615" s="237">
        <v>0</v>
      </c>
      <c r="M615" s="243"/>
      <c r="N615" s="244"/>
      <c r="O615" s="244"/>
      <c r="P615" s="237"/>
      <c r="Q615" s="243"/>
      <c r="R615" s="244"/>
      <c r="S615" s="244"/>
      <c r="T615" s="237">
        <v>5309276197</v>
      </c>
      <c r="U615" s="243"/>
      <c r="V615" s="244">
        <v>5316698</v>
      </c>
      <c r="W615" s="244"/>
      <c r="X615" s="237"/>
      <c r="Y615" s="243"/>
      <c r="Z615" s="244">
        <v>9796904066</v>
      </c>
      <c r="AA615" s="244"/>
      <c r="AB615" s="237"/>
      <c r="AC615" s="243"/>
      <c r="AD615" s="237">
        <v>0</v>
      </c>
      <c r="AE615" s="243"/>
      <c r="AF615" s="341">
        <v>30348250</v>
      </c>
      <c r="AG615" s="244"/>
      <c r="AH615" s="237"/>
      <c r="AI615" s="243"/>
    </row>
    <row r="616" spans="2:35">
      <c r="B616" s="327" t="s">
        <v>609</v>
      </c>
      <c r="C616" s="244"/>
      <c r="D616" s="237">
        <f t="shared" si="25"/>
        <v>38788037072</v>
      </c>
      <c r="E616" s="244"/>
      <c r="F616" s="237"/>
      <c r="G616" s="243"/>
      <c r="H616" s="244">
        <v>69160000</v>
      </c>
      <c r="I616" s="243"/>
      <c r="J616" s="237">
        <v>4835371653</v>
      </c>
      <c r="K616" s="244"/>
      <c r="L616" s="237">
        <v>13019024652</v>
      </c>
      <c r="M616" s="243"/>
      <c r="N616" s="244"/>
      <c r="O616" s="244"/>
      <c r="P616" s="237"/>
      <c r="Q616" s="243"/>
      <c r="R616" s="244">
        <v>528139254</v>
      </c>
      <c r="S616" s="244"/>
      <c r="T616" s="237"/>
      <c r="U616" s="243"/>
      <c r="V616" s="244">
        <v>0</v>
      </c>
      <c r="W616" s="244"/>
      <c r="X616" s="237">
        <v>265923990</v>
      </c>
      <c r="Y616" s="243"/>
      <c r="Z616" s="244">
        <v>8436052218</v>
      </c>
      <c r="AA616" s="244"/>
      <c r="AB616" s="237">
        <v>7699205710</v>
      </c>
      <c r="AC616" s="243"/>
      <c r="AD616" s="237">
        <v>3209280710</v>
      </c>
      <c r="AE616" s="243"/>
      <c r="AF616" s="341">
        <v>725878885</v>
      </c>
      <c r="AG616" s="244"/>
      <c r="AH616" s="237"/>
      <c r="AI616" s="243"/>
    </row>
    <row r="617" spans="2:35">
      <c r="B617" s="327" t="s">
        <v>610</v>
      </c>
      <c r="C617" s="244"/>
      <c r="D617" s="237">
        <f t="shared" si="25"/>
        <v>50241552377</v>
      </c>
      <c r="E617" s="244"/>
      <c r="F617" s="237"/>
      <c r="G617" s="243"/>
      <c r="H617" s="244">
        <v>473601539</v>
      </c>
      <c r="I617" s="243"/>
      <c r="J617" s="237">
        <v>6269595813</v>
      </c>
      <c r="K617" s="244"/>
      <c r="L617" s="237">
        <v>7852553389</v>
      </c>
      <c r="M617" s="243"/>
      <c r="N617" s="244"/>
      <c r="O617" s="244"/>
      <c r="P617" s="237">
        <v>2808211277</v>
      </c>
      <c r="Q617" s="243"/>
      <c r="R617" s="244"/>
      <c r="S617" s="244"/>
      <c r="T617" s="237">
        <v>20876510669</v>
      </c>
      <c r="U617" s="243"/>
      <c r="V617" s="244">
        <v>2813443721</v>
      </c>
      <c r="W617" s="244"/>
      <c r="X617" s="237"/>
      <c r="Y617" s="243"/>
      <c r="Z617" s="244"/>
      <c r="AA617" s="244"/>
      <c r="AB617" s="237"/>
      <c r="AC617" s="243"/>
      <c r="AD617" s="237"/>
      <c r="AE617" s="243"/>
      <c r="AF617" s="341">
        <v>9147635969</v>
      </c>
      <c r="AG617" s="244"/>
      <c r="AH617" s="237"/>
      <c r="AI617" s="243"/>
    </row>
    <row r="618" spans="2:35" ht="12" thickBot="1">
      <c r="B618" s="327" t="s">
        <v>611</v>
      </c>
      <c r="C618" s="244"/>
      <c r="D618" s="245">
        <f t="shared" si="25"/>
        <v>9121648</v>
      </c>
      <c r="E618" s="244">
        <f>SUM(D612:D618)</f>
        <v>265109193580</v>
      </c>
      <c r="F618" s="245"/>
      <c r="G618" s="243">
        <f>SUM(F612:F618)</f>
        <v>11426611676</v>
      </c>
      <c r="H618" s="245"/>
      <c r="I618" s="243">
        <f>SUM(H612:H618)</f>
        <v>7582819879</v>
      </c>
      <c r="J618" s="245">
        <v>4957068</v>
      </c>
      <c r="K618" s="244">
        <f>SUM(J612:J618)</f>
        <v>13472151050</v>
      </c>
      <c r="L618" s="245"/>
      <c r="M618" s="243">
        <f>SUM(L612:L618)</f>
        <v>28391049852</v>
      </c>
      <c r="N618" s="245"/>
      <c r="O618" s="244">
        <f>SUM(N612:N618)</f>
        <v>1426476</v>
      </c>
      <c r="P618" s="245"/>
      <c r="Q618" s="243">
        <f>SUM(P612:P618)</f>
        <v>15506827459</v>
      </c>
      <c r="R618" s="245"/>
      <c r="S618" s="244">
        <f>SUM(R612:R618)</f>
        <v>1258363308</v>
      </c>
      <c r="T618" s="245"/>
      <c r="U618" s="243">
        <f>SUM(T612:T618)</f>
        <v>38500901069</v>
      </c>
      <c r="V618" s="245"/>
      <c r="W618" s="244">
        <f>SUM(V612:V618)</f>
        <v>26599814462</v>
      </c>
      <c r="X618" s="245"/>
      <c r="Y618" s="243">
        <f>SUM(X612:X618)</f>
        <v>1245563698</v>
      </c>
      <c r="Z618" s="245"/>
      <c r="AA618" s="244">
        <f>SUM(Z612:Z618)</f>
        <v>54141213073</v>
      </c>
      <c r="AB618" s="245"/>
      <c r="AC618" s="243">
        <f>SUM(AB612:AB618)</f>
        <v>7926870747</v>
      </c>
      <c r="AD618" s="245"/>
      <c r="AE618" s="243">
        <f>SUM(AD612:AD618)</f>
        <v>24081046457</v>
      </c>
      <c r="AF618" s="245">
        <v>4164580</v>
      </c>
      <c r="AG618" s="244">
        <f>SUM(AF612:AF618)</f>
        <v>34974534374</v>
      </c>
      <c r="AH618" s="245"/>
      <c r="AI618" s="243">
        <f>SUM(AH612:AH618)</f>
        <v>0</v>
      </c>
    </row>
    <row r="619" spans="2:35">
      <c r="B619" s="327"/>
      <c r="C619" s="244"/>
      <c r="D619" s="237"/>
      <c r="E619" s="244"/>
      <c r="F619" s="237"/>
      <c r="G619" s="243"/>
      <c r="H619" s="244"/>
      <c r="I619" s="243"/>
      <c r="J619" s="237"/>
      <c r="K619" s="244"/>
      <c r="L619" s="237"/>
      <c r="M619" s="243"/>
      <c r="N619" s="244"/>
      <c r="O619" s="244"/>
      <c r="P619" s="237"/>
      <c r="Q619" s="243"/>
      <c r="R619" s="244"/>
      <c r="S619" s="244"/>
      <c r="T619" s="237"/>
      <c r="U619" s="243"/>
      <c r="V619" s="341"/>
      <c r="W619" s="244"/>
      <c r="X619" s="237"/>
      <c r="Y619" s="243"/>
      <c r="Z619" s="244"/>
      <c r="AA619" s="244"/>
      <c r="AB619" s="237"/>
      <c r="AC619" s="243"/>
      <c r="AD619" s="237"/>
      <c r="AE619" s="243"/>
      <c r="AF619" s="341"/>
      <c r="AG619" s="244"/>
      <c r="AH619" s="237"/>
      <c r="AI619" s="243"/>
    </row>
    <row r="620" spans="2:35">
      <c r="B620" s="673" t="s">
        <v>986</v>
      </c>
      <c r="C620" s="244"/>
      <c r="D620" s="237"/>
      <c r="E620" s="244"/>
      <c r="F620" s="237"/>
      <c r="G620" s="297"/>
      <c r="H620" s="244"/>
      <c r="I620" s="243"/>
      <c r="J620" s="237"/>
      <c r="K620" s="244"/>
      <c r="L620" s="237"/>
      <c r="M620" s="243"/>
      <c r="N620" s="244"/>
      <c r="O620" s="244"/>
      <c r="P620" s="237"/>
      <c r="Q620" s="243"/>
      <c r="R620" s="244"/>
      <c r="S620" s="244"/>
      <c r="T620" s="237"/>
      <c r="U620" s="243"/>
      <c r="V620" s="341"/>
      <c r="W620" s="244"/>
      <c r="X620" s="237"/>
      <c r="Y620" s="243"/>
      <c r="Z620" s="244"/>
      <c r="AA620" s="244"/>
      <c r="AB620" s="237"/>
      <c r="AC620" s="243"/>
      <c r="AD620" s="237"/>
      <c r="AE620" s="243"/>
      <c r="AF620" s="341"/>
      <c r="AG620" s="244"/>
      <c r="AH620" s="237"/>
      <c r="AI620" s="243"/>
    </row>
    <row r="621" spans="2:35">
      <c r="B621" s="327" t="s">
        <v>605</v>
      </c>
      <c r="C621" s="244"/>
      <c r="D621" s="237">
        <f t="shared" ref="D621:D627" si="26">F621+H621+J621+L621+N621+P621+R621+T621+V621+X621+Z621+AB621+AD621+AF621+AH621</f>
        <v>1876883409</v>
      </c>
      <c r="E621" s="244"/>
      <c r="F621" s="237"/>
      <c r="G621" s="447"/>
      <c r="H621" s="244">
        <v>190671054</v>
      </c>
      <c r="I621" s="243"/>
      <c r="J621" s="237">
        <v>12003004</v>
      </c>
      <c r="K621" s="244"/>
      <c r="L621" s="237">
        <v>124668556</v>
      </c>
      <c r="M621" s="243"/>
      <c r="N621" s="244">
        <v>39296034</v>
      </c>
      <c r="O621" s="244"/>
      <c r="P621" s="237"/>
      <c r="Q621" s="243"/>
      <c r="R621" s="244">
        <f>128283681-1</f>
        <v>128283680</v>
      </c>
      <c r="S621" s="244"/>
      <c r="T621" s="237">
        <v>39734413</v>
      </c>
      <c r="U621" s="243"/>
      <c r="V621" s="341">
        <v>184248416</v>
      </c>
      <c r="W621" s="244"/>
      <c r="X621" s="237">
        <v>169761152</v>
      </c>
      <c r="Y621" s="243"/>
      <c r="Z621" s="244">
        <v>126803140</v>
      </c>
      <c r="AA621" s="244"/>
      <c r="AB621" s="237">
        <v>316374453</v>
      </c>
      <c r="AC621" s="243"/>
      <c r="AD621" s="237">
        <v>395224156</v>
      </c>
      <c r="AE621" s="243"/>
      <c r="AF621" s="341">
        <v>149815351</v>
      </c>
      <c r="AG621" s="244"/>
      <c r="AH621" s="237"/>
      <c r="AI621" s="243"/>
    </row>
    <row r="622" spans="2:35">
      <c r="B622" s="327" t="s">
        <v>606</v>
      </c>
      <c r="C622" s="244"/>
      <c r="D622" s="237">
        <f t="shared" si="26"/>
        <v>736850123</v>
      </c>
      <c r="E622" s="244"/>
      <c r="F622" s="237"/>
      <c r="G622" s="243"/>
      <c r="H622" s="244">
        <v>41375500</v>
      </c>
      <c r="I622" s="243"/>
      <c r="J622" s="237">
        <v>5748969</v>
      </c>
      <c r="K622" s="244"/>
      <c r="L622" s="237">
        <v>38604418</v>
      </c>
      <c r="M622" s="243"/>
      <c r="N622" s="244"/>
      <c r="O622" s="244"/>
      <c r="P622" s="237">
        <v>617510579</v>
      </c>
      <c r="Q622" s="243"/>
      <c r="R622" s="244"/>
      <c r="S622" s="244"/>
      <c r="T622" s="237"/>
      <c r="U622" s="243"/>
      <c r="V622" s="341">
        <v>14679133</v>
      </c>
      <c r="W622" s="244"/>
      <c r="X622" s="237">
        <v>12376084</v>
      </c>
      <c r="Y622" s="243"/>
      <c r="Z622" s="244"/>
      <c r="AA622" s="244"/>
      <c r="AB622" s="237">
        <v>6555440</v>
      </c>
      <c r="AC622" s="243"/>
      <c r="AD622" s="237"/>
      <c r="AE622" s="243"/>
      <c r="AF622" s="341"/>
      <c r="AG622" s="244"/>
      <c r="AH622" s="237"/>
      <c r="AI622" s="243"/>
    </row>
    <row r="623" spans="2:35">
      <c r="B623" s="327" t="s">
        <v>607</v>
      </c>
      <c r="C623" s="244"/>
      <c r="D623" s="237">
        <f t="shared" si="26"/>
        <v>0</v>
      </c>
      <c r="E623" s="244"/>
      <c r="F623" s="237"/>
      <c r="G623" s="447"/>
      <c r="H623" s="244"/>
      <c r="I623" s="243"/>
      <c r="J623" s="237"/>
      <c r="K623" s="244"/>
      <c r="L623" s="237"/>
      <c r="M623" s="243"/>
      <c r="N623" s="244"/>
      <c r="O623" s="244"/>
      <c r="P623" s="237"/>
      <c r="Q623" s="243"/>
      <c r="R623" s="244"/>
      <c r="S623" s="244"/>
      <c r="T623" s="237"/>
      <c r="U623" s="243"/>
      <c r="V623" s="341"/>
      <c r="W623" s="244"/>
      <c r="X623" s="237"/>
      <c r="Y623" s="243"/>
      <c r="Z623" s="244"/>
      <c r="AA623" s="244"/>
      <c r="AB623" s="237"/>
      <c r="AC623" s="243"/>
      <c r="AD623" s="237"/>
      <c r="AE623" s="243"/>
      <c r="AF623" s="341"/>
      <c r="AG623" s="244"/>
      <c r="AH623" s="237"/>
      <c r="AI623" s="243"/>
    </row>
    <row r="624" spans="2:35">
      <c r="B624" s="327" t="s">
        <v>608</v>
      </c>
      <c r="C624" s="244"/>
      <c r="D624" s="237">
        <f t="shared" si="26"/>
        <v>2197743</v>
      </c>
      <c r="E624" s="244"/>
      <c r="F624" s="237"/>
      <c r="G624" s="243"/>
      <c r="H624" s="244"/>
      <c r="I624" s="243"/>
      <c r="J624" s="237"/>
      <c r="K624" s="244"/>
      <c r="L624" s="237"/>
      <c r="M624" s="243"/>
      <c r="N624" s="244"/>
      <c r="O624" s="244"/>
      <c r="P624" s="237"/>
      <c r="Q624" s="243"/>
      <c r="R624" s="244"/>
      <c r="S624" s="244"/>
      <c r="T624" s="237"/>
      <c r="U624" s="243"/>
      <c r="V624" s="341">
        <v>2197743</v>
      </c>
      <c r="W624" s="244"/>
      <c r="X624" s="237"/>
      <c r="Y624" s="243"/>
      <c r="Z624" s="244"/>
      <c r="AA624" s="244"/>
      <c r="AB624" s="237"/>
      <c r="AC624" s="243"/>
      <c r="AD624" s="237"/>
      <c r="AE624" s="243"/>
      <c r="AF624" s="341"/>
      <c r="AG624" s="244"/>
      <c r="AH624" s="237"/>
      <c r="AI624" s="243"/>
    </row>
    <row r="625" spans="2:35">
      <c r="B625" s="327" t="s">
        <v>609</v>
      </c>
      <c r="C625" s="244"/>
      <c r="D625" s="237">
        <f t="shared" si="26"/>
        <v>0</v>
      </c>
      <c r="E625" s="244"/>
      <c r="F625" s="237"/>
      <c r="G625" s="243"/>
      <c r="H625" s="244"/>
      <c r="I625" s="243"/>
      <c r="J625" s="237"/>
      <c r="K625" s="244"/>
      <c r="L625" s="237"/>
      <c r="M625" s="243"/>
      <c r="N625" s="244"/>
      <c r="O625" s="244"/>
      <c r="P625" s="237"/>
      <c r="Q625" s="243"/>
      <c r="R625" s="244"/>
      <c r="S625" s="244"/>
      <c r="T625" s="237"/>
      <c r="U625" s="243"/>
      <c r="V625" s="341"/>
      <c r="W625" s="244"/>
      <c r="X625" s="237"/>
      <c r="Y625" s="243"/>
      <c r="Z625" s="244"/>
      <c r="AA625" s="244"/>
      <c r="AB625" s="237"/>
      <c r="AC625" s="243"/>
      <c r="AD625" s="237"/>
      <c r="AE625" s="243"/>
      <c r="AF625" s="341"/>
      <c r="AG625" s="244"/>
      <c r="AH625" s="237"/>
      <c r="AI625" s="243"/>
    </row>
    <row r="626" spans="2:35">
      <c r="B626" s="327" t="s">
        <v>610</v>
      </c>
      <c r="C626" s="244"/>
      <c r="D626" s="237">
        <f t="shared" si="26"/>
        <v>0</v>
      </c>
      <c r="E626" s="244"/>
      <c r="F626" s="237"/>
      <c r="G626" s="243"/>
      <c r="H626" s="244"/>
      <c r="I626" s="243"/>
      <c r="J626" s="237"/>
      <c r="K626" s="244"/>
      <c r="L626" s="237"/>
      <c r="M626" s="243"/>
      <c r="N626" s="244"/>
      <c r="O626" s="244"/>
      <c r="P626" s="237"/>
      <c r="Q626" s="243"/>
      <c r="R626" s="244"/>
      <c r="S626" s="244"/>
      <c r="T626" s="237"/>
      <c r="U626" s="243"/>
      <c r="V626" s="341"/>
      <c r="W626" s="244"/>
      <c r="X626" s="237"/>
      <c r="Y626" s="243"/>
      <c r="Z626" s="244"/>
      <c r="AA626" s="244"/>
      <c r="AB626" s="237"/>
      <c r="AC626" s="243"/>
      <c r="AD626" s="237"/>
      <c r="AE626" s="243"/>
      <c r="AF626" s="341"/>
      <c r="AG626" s="244"/>
      <c r="AH626" s="237"/>
      <c r="AI626" s="243"/>
    </row>
    <row r="627" spans="2:35" ht="12" thickBot="1">
      <c r="B627" s="327" t="s">
        <v>611</v>
      </c>
      <c r="C627" s="244"/>
      <c r="D627" s="245">
        <f t="shared" si="26"/>
        <v>0</v>
      </c>
      <c r="E627" s="244">
        <f>SUM(D621:D627)</f>
        <v>2615931275</v>
      </c>
      <c r="F627" s="245"/>
      <c r="G627" s="243">
        <f>SUM(F621:F627)</f>
        <v>0</v>
      </c>
      <c r="H627" s="245"/>
      <c r="I627" s="243">
        <f>SUM(H621:H627)</f>
        <v>232046554</v>
      </c>
      <c r="J627" s="245"/>
      <c r="K627" s="243">
        <f>SUM(J621:J627)</f>
        <v>17751973</v>
      </c>
      <c r="L627" s="245"/>
      <c r="M627" s="243">
        <f>SUM(L621:L627)</f>
        <v>163272974</v>
      </c>
      <c r="N627" s="245"/>
      <c r="O627" s="243">
        <f>SUM(N621:N627)</f>
        <v>39296034</v>
      </c>
      <c r="P627" s="245"/>
      <c r="Q627" s="243">
        <f>SUM(P621:P627)</f>
        <v>617510579</v>
      </c>
      <c r="R627" s="245"/>
      <c r="S627" s="243">
        <f>SUM(R621:R627)</f>
        <v>128283680</v>
      </c>
      <c r="T627" s="245"/>
      <c r="U627" s="243">
        <f>SUM(T621:T627)</f>
        <v>39734413</v>
      </c>
      <c r="V627" s="245"/>
      <c r="W627" s="243">
        <f>SUM(V621:V627)</f>
        <v>201125292</v>
      </c>
      <c r="X627" s="245"/>
      <c r="Y627" s="243">
        <f>SUM(X621:X627)</f>
        <v>182137236</v>
      </c>
      <c r="Z627" s="245"/>
      <c r="AA627" s="243">
        <f>SUM(Z621:Z627)</f>
        <v>126803140</v>
      </c>
      <c r="AB627" s="245"/>
      <c r="AC627" s="243">
        <f>SUM(AB621:AB627)</f>
        <v>322929893</v>
      </c>
      <c r="AD627" s="245"/>
      <c r="AE627" s="243">
        <f>SUM(AD621:AD627)</f>
        <v>395224156</v>
      </c>
      <c r="AF627" s="245"/>
      <c r="AG627" s="243">
        <f>SUM(AF621:AF627)</f>
        <v>149815351</v>
      </c>
      <c r="AH627" s="245"/>
      <c r="AI627" s="243">
        <f>SUM(AH621:AH627)</f>
        <v>0</v>
      </c>
    </row>
    <row r="628" spans="2:35">
      <c r="B628" s="327"/>
      <c r="C628" s="244"/>
      <c r="D628" s="237"/>
      <c r="E628" s="244"/>
      <c r="F628" s="237"/>
      <c r="G628" s="243"/>
      <c r="H628" s="244"/>
      <c r="I628" s="243"/>
      <c r="J628" s="237"/>
      <c r="K628" s="244"/>
      <c r="L628" s="237"/>
      <c r="M628" s="243"/>
      <c r="N628" s="244"/>
      <c r="O628" s="244"/>
      <c r="P628" s="237"/>
      <c r="Q628" s="243"/>
      <c r="R628" s="244"/>
      <c r="S628" s="244"/>
      <c r="T628" s="237"/>
      <c r="U628" s="243"/>
      <c r="V628" s="244"/>
      <c r="W628" s="244"/>
      <c r="X628" s="237"/>
      <c r="Y628" s="243"/>
      <c r="Z628" s="244"/>
      <c r="AA628" s="244"/>
      <c r="AB628" s="237"/>
      <c r="AC628" s="243"/>
      <c r="AD628" s="237"/>
      <c r="AE628" s="243"/>
      <c r="AF628" s="341"/>
      <c r="AG628" s="244"/>
      <c r="AH628" s="237"/>
      <c r="AI628" s="243"/>
    </row>
    <row r="629" spans="2:35">
      <c r="B629" s="672" t="s">
        <v>987</v>
      </c>
      <c r="C629" s="244"/>
      <c r="D629" s="237"/>
      <c r="E629" s="244"/>
      <c r="F629" s="237"/>
      <c r="G629" s="297"/>
      <c r="H629" s="244"/>
      <c r="I629" s="243"/>
      <c r="J629" s="237"/>
      <c r="K629" s="244"/>
      <c r="L629" s="237"/>
      <c r="M629" s="243"/>
      <c r="N629" s="244"/>
      <c r="O629" s="244"/>
      <c r="P629" s="237"/>
      <c r="Q629" s="243"/>
      <c r="R629" s="244"/>
      <c r="S629" s="244"/>
      <c r="T629" s="237"/>
      <c r="U629" s="243"/>
      <c r="V629" s="341"/>
      <c r="W629" s="244"/>
      <c r="X629" s="237"/>
      <c r="Y629" s="243"/>
      <c r="Z629" s="244"/>
      <c r="AA629" s="244"/>
      <c r="AB629" s="237"/>
      <c r="AC629" s="243"/>
      <c r="AD629" s="237"/>
      <c r="AE629" s="243"/>
      <c r="AF629" s="341"/>
      <c r="AG629" s="244"/>
      <c r="AH629" s="237"/>
      <c r="AI629" s="243"/>
    </row>
    <row r="630" spans="2:35">
      <c r="B630" s="327" t="s">
        <v>605</v>
      </c>
      <c r="C630" s="244"/>
      <c r="D630" s="237">
        <f t="shared" ref="D630:D636" si="27">F630+H630+J630+L630+N630+P630+R630+T630+V630+X630+Z630+AB630+AD630+AF630+AH630</f>
        <v>2494304435</v>
      </c>
      <c r="E630" s="244"/>
      <c r="F630" s="237"/>
      <c r="G630" s="447"/>
      <c r="H630" s="244">
        <v>293893807</v>
      </c>
      <c r="I630" s="243"/>
      <c r="J630" s="237">
        <f>551157994+4220</f>
        <v>551162214</v>
      </c>
      <c r="K630" s="244"/>
      <c r="L630" s="237">
        <v>13288232</v>
      </c>
      <c r="M630" s="243"/>
      <c r="N630" s="244">
        <v>13331453</v>
      </c>
      <c r="O630" s="244"/>
      <c r="P630" s="237">
        <v>36519090</v>
      </c>
      <c r="Q630" s="243"/>
      <c r="R630" s="244">
        <v>39317586</v>
      </c>
      <c r="S630" s="244"/>
      <c r="T630" s="237">
        <v>16175454</v>
      </c>
      <c r="U630" s="243"/>
      <c r="V630" s="341">
        <v>39139425</v>
      </c>
      <c r="W630" s="244"/>
      <c r="X630" s="237">
        <v>17899398</v>
      </c>
      <c r="Y630" s="243"/>
      <c r="Z630" s="244">
        <v>34636645</v>
      </c>
      <c r="AA630" s="244"/>
      <c r="AB630" s="237">
        <v>133664543</v>
      </c>
      <c r="AC630" s="243"/>
      <c r="AD630" s="237">
        <f>1274625311+967415</f>
        <v>1275592726</v>
      </c>
      <c r="AE630" s="243"/>
      <c r="AF630" s="341">
        <v>29683862</v>
      </c>
      <c r="AG630" s="244"/>
      <c r="AH630" s="237"/>
      <c r="AI630" s="243"/>
    </row>
    <row r="631" spans="2:35">
      <c r="B631" s="327" t="s">
        <v>606</v>
      </c>
      <c r="C631" s="244"/>
      <c r="D631" s="237">
        <f t="shared" si="27"/>
        <v>117749895</v>
      </c>
      <c r="E631" s="244"/>
      <c r="F631" s="237"/>
      <c r="G631" s="243"/>
      <c r="H631" s="244"/>
      <c r="I631" s="243"/>
      <c r="J631" s="237"/>
      <c r="K631" s="244"/>
      <c r="L631" s="237"/>
      <c r="M631" s="243"/>
      <c r="N631" s="244"/>
      <c r="O631" s="244"/>
      <c r="P631" s="237">
        <v>69684278</v>
      </c>
      <c r="Q631" s="243"/>
      <c r="R631" s="244"/>
      <c r="S631" s="244"/>
      <c r="T631" s="237"/>
      <c r="U631" s="243"/>
      <c r="V631" s="341"/>
      <c r="W631" s="244"/>
      <c r="X631" s="237"/>
      <c r="Y631" s="243"/>
      <c r="Z631" s="244"/>
      <c r="AA631" s="244"/>
      <c r="AB631" s="237"/>
      <c r="AC631" s="243"/>
      <c r="AD631" s="237"/>
      <c r="AE631" s="243"/>
      <c r="AF631" s="341">
        <v>48065617</v>
      </c>
      <c r="AG631" s="244"/>
      <c r="AH631" s="237"/>
      <c r="AI631" s="243"/>
    </row>
    <row r="632" spans="2:35">
      <c r="B632" s="327" t="s">
        <v>607</v>
      </c>
      <c r="C632" s="244"/>
      <c r="D632" s="237">
        <f t="shared" si="27"/>
        <v>0</v>
      </c>
      <c r="E632" s="244"/>
      <c r="F632" s="237"/>
      <c r="G632" s="447"/>
      <c r="H632" s="244"/>
      <c r="I632" s="243"/>
      <c r="J632" s="237"/>
      <c r="K632" s="244"/>
      <c r="L632" s="237"/>
      <c r="M632" s="243"/>
      <c r="N632" s="244"/>
      <c r="O632" s="244"/>
      <c r="P632" s="237"/>
      <c r="Q632" s="243"/>
      <c r="R632" s="244"/>
      <c r="S632" s="244"/>
      <c r="T632" s="237"/>
      <c r="U632" s="243"/>
      <c r="V632" s="341"/>
      <c r="W632" s="244"/>
      <c r="X632" s="237"/>
      <c r="Y632" s="243"/>
      <c r="Z632" s="244"/>
      <c r="AA632" s="244"/>
      <c r="AB632" s="237"/>
      <c r="AC632" s="243"/>
      <c r="AD632" s="237"/>
      <c r="AE632" s="243"/>
      <c r="AF632" s="341"/>
      <c r="AG632" s="244"/>
      <c r="AH632" s="237"/>
      <c r="AI632" s="243"/>
    </row>
    <row r="633" spans="2:35">
      <c r="B633" s="327" t="s">
        <v>608</v>
      </c>
      <c r="C633" s="244"/>
      <c r="D633" s="237">
        <f t="shared" si="27"/>
        <v>19564351</v>
      </c>
      <c r="E633" s="244"/>
      <c r="F633" s="237"/>
      <c r="G633" s="243"/>
      <c r="H633" s="244"/>
      <c r="I633" s="243"/>
      <c r="J633" s="237"/>
      <c r="K633" s="244"/>
      <c r="L633" s="237"/>
      <c r="M633" s="243"/>
      <c r="N633" s="244"/>
      <c r="O633" s="244"/>
      <c r="P633" s="237"/>
      <c r="Q633" s="243"/>
      <c r="R633" s="244">
        <v>17366608</v>
      </c>
      <c r="S633" s="244"/>
      <c r="T633" s="237">
        <v>2197743</v>
      </c>
      <c r="U633" s="243"/>
      <c r="V633" s="341"/>
      <c r="W633" s="244"/>
      <c r="X633" s="237"/>
      <c r="Y633" s="243"/>
      <c r="Z633" s="244"/>
      <c r="AA633" s="244"/>
      <c r="AB633" s="237"/>
      <c r="AC633" s="243"/>
      <c r="AD633" s="237"/>
      <c r="AE633" s="243"/>
      <c r="AF633" s="341"/>
      <c r="AG633" s="244"/>
      <c r="AH633" s="237"/>
      <c r="AI633" s="243"/>
    </row>
    <row r="634" spans="2:35">
      <c r="B634" s="327" t="s">
        <v>609</v>
      </c>
      <c r="C634" s="244"/>
      <c r="D634" s="237">
        <f t="shared" si="27"/>
        <v>0</v>
      </c>
      <c r="E634" s="244"/>
      <c r="F634" s="237"/>
      <c r="G634" s="243"/>
      <c r="H634" s="244"/>
      <c r="I634" s="243"/>
      <c r="J634" s="237"/>
      <c r="K634" s="244"/>
      <c r="L634" s="237"/>
      <c r="M634" s="243"/>
      <c r="N634" s="244"/>
      <c r="O634" s="244"/>
      <c r="P634" s="237"/>
      <c r="Q634" s="243"/>
      <c r="R634" s="244"/>
      <c r="S634" s="244"/>
      <c r="T634" s="237"/>
      <c r="U634" s="243"/>
      <c r="V634" s="341"/>
      <c r="W634" s="244"/>
      <c r="X634" s="237"/>
      <c r="Y634" s="243"/>
      <c r="Z634" s="244"/>
      <c r="AA634" s="244"/>
      <c r="AB634" s="237"/>
      <c r="AC634" s="243"/>
      <c r="AD634" s="237"/>
      <c r="AE634" s="243"/>
      <c r="AF634" s="341"/>
      <c r="AG634" s="244"/>
      <c r="AH634" s="237"/>
      <c r="AI634" s="243"/>
    </row>
    <row r="635" spans="2:35">
      <c r="B635" s="327" t="s">
        <v>610</v>
      </c>
      <c r="C635" s="244"/>
      <c r="D635" s="237">
        <f t="shared" si="27"/>
        <v>0</v>
      </c>
      <c r="E635" s="244"/>
      <c r="F635" s="237"/>
      <c r="G635" s="243"/>
      <c r="H635" s="244"/>
      <c r="I635" s="243"/>
      <c r="J635" s="237"/>
      <c r="K635" s="244"/>
      <c r="L635" s="237"/>
      <c r="M635" s="243"/>
      <c r="N635" s="244"/>
      <c r="O635" s="244"/>
      <c r="P635" s="237"/>
      <c r="Q635" s="243"/>
      <c r="R635" s="244"/>
      <c r="S635" s="244"/>
      <c r="T635" s="237"/>
      <c r="U635" s="243"/>
      <c r="V635" s="341"/>
      <c r="W635" s="244"/>
      <c r="X635" s="237"/>
      <c r="Y635" s="243"/>
      <c r="Z635" s="244"/>
      <c r="AA635" s="244"/>
      <c r="AB635" s="237"/>
      <c r="AC635" s="243"/>
      <c r="AD635" s="237"/>
      <c r="AE635" s="243"/>
      <c r="AF635" s="341"/>
      <c r="AG635" s="244"/>
      <c r="AH635" s="237"/>
      <c r="AI635" s="243"/>
    </row>
    <row r="636" spans="2:35" ht="12" thickBot="1">
      <c r="B636" s="327" t="s">
        <v>611</v>
      </c>
      <c r="C636" s="244"/>
      <c r="D636" s="245">
        <f t="shared" si="27"/>
        <v>4164580</v>
      </c>
      <c r="E636" s="449">
        <f>SUM(D630:D636)</f>
        <v>2635783261</v>
      </c>
      <c r="F636" s="245"/>
      <c r="G636" s="449">
        <f>SUM(F630:F636)</f>
        <v>0</v>
      </c>
      <c r="H636" s="245"/>
      <c r="I636" s="449">
        <f>SUM(H630:H636)</f>
        <v>293893807</v>
      </c>
      <c r="J636" s="245"/>
      <c r="K636" s="449">
        <f>SUM(J630:J636)</f>
        <v>551162214</v>
      </c>
      <c r="L636" s="245"/>
      <c r="M636" s="449">
        <f>SUM(L630:L636)</f>
        <v>13288232</v>
      </c>
      <c r="N636" s="245"/>
      <c r="O636" s="449">
        <f>SUM(N630:N636)</f>
        <v>13331453</v>
      </c>
      <c r="P636" s="245"/>
      <c r="Q636" s="449">
        <f>SUM(P630:P636)</f>
        <v>106203368</v>
      </c>
      <c r="R636" s="245"/>
      <c r="S636" s="449">
        <f>SUM(R630:R636)</f>
        <v>56684194</v>
      </c>
      <c r="T636" s="245"/>
      <c r="U636" s="449">
        <f>SUM(T630:T636)</f>
        <v>18373197</v>
      </c>
      <c r="V636" s="245"/>
      <c r="W636" s="449">
        <f>SUM(V630:V636)</f>
        <v>39139425</v>
      </c>
      <c r="X636" s="245"/>
      <c r="Y636" s="449">
        <f>SUM(X630:X636)</f>
        <v>17899398</v>
      </c>
      <c r="Z636" s="245"/>
      <c r="AA636" s="449">
        <f>SUM(Z630:Z636)</f>
        <v>34636645</v>
      </c>
      <c r="AB636" s="245"/>
      <c r="AC636" s="449">
        <f>SUM(AB630:AB636)</f>
        <v>133664543</v>
      </c>
      <c r="AD636" s="245"/>
      <c r="AE636" s="449">
        <f>SUM(AD630:AD636)</f>
        <v>1275592726</v>
      </c>
      <c r="AF636" s="245">
        <v>4164580</v>
      </c>
      <c r="AG636" s="449">
        <f>SUM(AF630:AF636)</f>
        <v>81914059</v>
      </c>
      <c r="AH636" s="245"/>
      <c r="AI636" s="449">
        <f>SUM(AH630:AH636)</f>
        <v>0</v>
      </c>
    </row>
    <row r="637" spans="2:35" ht="12" thickBot="1">
      <c r="B637" s="665" t="s">
        <v>806</v>
      </c>
      <c r="C637" s="248"/>
      <c r="D637" s="245"/>
      <c r="E637" s="248">
        <f>E618+E627-E636</f>
        <v>265089341594</v>
      </c>
      <c r="F637" s="245"/>
      <c r="G637" s="248">
        <f>G618+G627-G636</f>
        <v>11426611676</v>
      </c>
      <c r="H637" s="245"/>
      <c r="I637" s="248">
        <f>I618+I627-I636</f>
        <v>7520972626</v>
      </c>
      <c r="J637" s="245"/>
      <c r="K637" s="248">
        <f>K618+K627-K636</f>
        <v>12938740809</v>
      </c>
      <c r="L637" s="245"/>
      <c r="M637" s="248">
        <f>M618+M627-M636</f>
        <v>28541034594</v>
      </c>
      <c r="N637" s="245"/>
      <c r="O637" s="248">
        <f>O618+O627-O636</f>
        <v>27391057</v>
      </c>
      <c r="P637" s="245"/>
      <c r="Q637" s="248">
        <f>Q618+Q627-Q636</f>
        <v>16018134670</v>
      </c>
      <c r="R637" s="245"/>
      <c r="S637" s="248">
        <f>S618+S627-S636</f>
        <v>1329962794</v>
      </c>
      <c r="T637" s="245"/>
      <c r="U637" s="248">
        <f>U618+U627-U636</f>
        <v>38522262285</v>
      </c>
      <c r="V637" s="245"/>
      <c r="W637" s="248">
        <f>W618+W627-W636</f>
        <v>26761800329</v>
      </c>
      <c r="X637" s="245"/>
      <c r="Y637" s="248">
        <f>Y618+Y627-Y636</f>
        <v>1409801536</v>
      </c>
      <c r="Z637" s="245"/>
      <c r="AA637" s="248">
        <f>AA618+AA627-AA636</f>
        <v>54233379568</v>
      </c>
      <c r="AB637" s="245"/>
      <c r="AC637" s="248">
        <f>AC618+AC627-AC636</f>
        <v>8116136097</v>
      </c>
      <c r="AD637" s="245"/>
      <c r="AE637" s="248">
        <f>AE618+AE627-AE636</f>
        <v>23200677887</v>
      </c>
      <c r="AF637" s="245"/>
      <c r="AG637" s="248">
        <f>AG618+AG627-AG636</f>
        <v>35042435666</v>
      </c>
      <c r="AH637" s="245"/>
      <c r="AI637" s="248">
        <f>AI618+AI627-AI636</f>
        <v>0</v>
      </c>
    </row>
    <row r="638" spans="2:35">
      <c r="B638" s="360"/>
      <c r="C638" s="244"/>
      <c r="D638" s="244"/>
      <c r="E638" s="244"/>
      <c r="F638" s="244"/>
      <c r="G638" s="244"/>
      <c r="H638" s="244"/>
      <c r="I638" s="244"/>
      <c r="J638" s="244"/>
      <c r="K638" s="244"/>
      <c r="L638" s="244"/>
      <c r="M638" s="244"/>
      <c r="N638" s="244"/>
      <c r="O638" s="244"/>
      <c r="P638" s="244"/>
      <c r="Q638" s="244"/>
      <c r="R638" s="244"/>
      <c r="S638" s="244"/>
      <c r="T638" s="244"/>
      <c r="U638" s="244"/>
      <c r="V638" s="244"/>
      <c r="W638" s="244"/>
      <c r="X638" s="244"/>
      <c r="Y638" s="244"/>
      <c r="Z638" s="244"/>
      <c r="AA638" s="244"/>
      <c r="AB638" s="244"/>
      <c r="AC638" s="244"/>
      <c r="AD638" s="244"/>
      <c r="AE638" s="244"/>
      <c r="AF638" s="244"/>
      <c r="AG638" s="244"/>
      <c r="AH638" s="244"/>
      <c r="AI638" s="244"/>
    </row>
    <row r="639" spans="2:35" hidden="1">
      <c r="B639" s="360"/>
      <c r="C639" s="244"/>
      <c r="D639" s="244"/>
      <c r="E639" s="244"/>
      <c r="F639" s="244"/>
      <c r="G639" s="244"/>
      <c r="H639" s="244"/>
      <c r="I639" s="244"/>
      <c r="J639" s="244"/>
      <c r="K639" s="244"/>
      <c r="L639" s="244"/>
      <c r="M639" s="244"/>
      <c r="N639" s="244"/>
      <c r="O639" s="244"/>
      <c r="P639" s="244"/>
      <c r="Q639" s="244"/>
      <c r="R639" s="244"/>
      <c r="S639" s="244"/>
      <c r="T639" s="244"/>
      <c r="U639" s="244"/>
      <c r="V639" s="244"/>
      <c r="W639" s="244"/>
      <c r="X639" s="244"/>
      <c r="Y639" s="244"/>
      <c r="Z639" s="244"/>
      <c r="AA639" s="244"/>
      <c r="AB639" s="244"/>
      <c r="AC639" s="244"/>
      <c r="AD639" s="244"/>
      <c r="AE639" s="244"/>
      <c r="AF639" s="244"/>
      <c r="AG639" s="244"/>
      <c r="AH639" s="244"/>
      <c r="AI639" s="244"/>
    </row>
    <row r="640" spans="2:35" hidden="1">
      <c r="K640" s="301" t="s">
        <v>483</v>
      </c>
    </row>
    <row r="641" spans="1:35" ht="14.25" customHeight="1">
      <c r="A641" s="674"/>
      <c r="B641" s="419" t="s">
        <v>556</v>
      </c>
    </row>
    <row r="642" spans="1:35" ht="12" thickBot="1">
      <c r="G642" s="335" t="s">
        <v>247</v>
      </c>
    </row>
    <row r="643" spans="1:35" ht="12" thickBot="1">
      <c r="B643" s="425"/>
      <c r="C643" s="274"/>
      <c r="D643" s="1463" t="s">
        <v>860</v>
      </c>
      <c r="E643" s="1464"/>
      <c r="F643" s="1463" t="s">
        <v>17</v>
      </c>
      <c r="G643" s="1464"/>
      <c r="H643" s="1463" t="s">
        <v>18</v>
      </c>
      <c r="I643" s="1464"/>
      <c r="J643" s="1463" t="s">
        <v>19</v>
      </c>
      <c r="K643" s="1464"/>
      <c r="L643" s="1463" t="s">
        <v>20</v>
      </c>
      <c r="M643" s="1464"/>
      <c r="N643" s="1463" t="s">
        <v>21</v>
      </c>
      <c r="O643" s="1464"/>
      <c r="P643" s="1463" t="s">
        <v>22</v>
      </c>
      <c r="Q643" s="1464"/>
      <c r="R643" s="1463" t="s">
        <v>23</v>
      </c>
      <c r="S643" s="1464"/>
      <c r="T643" s="1463" t="s">
        <v>24</v>
      </c>
      <c r="U643" s="1464"/>
      <c r="V643" s="1463" t="s">
        <v>25</v>
      </c>
      <c r="W643" s="1464"/>
      <c r="X643" s="1463" t="s">
        <v>26</v>
      </c>
      <c r="Y643" s="1464"/>
      <c r="Z643" s="1463" t="s">
        <v>27</v>
      </c>
      <c r="AA643" s="1464"/>
      <c r="AB643" s="1463" t="s">
        <v>28</v>
      </c>
      <c r="AC643" s="1464"/>
      <c r="AD643" s="1463" t="s">
        <v>29</v>
      </c>
      <c r="AE643" s="1464"/>
      <c r="AF643" s="1463" t="s">
        <v>30</v>
      </c>
      <c r="AG643" s="1464"/>
      <c r="AH643" s="1463" t="s">
        <v>31</v>
      </c>
      <c r="AI643" s="1464"/>
    </row>
    <row r="644" spans="1:35">
      <c r="B644" s="390" t="s">
        <v>621</v>
      </c>
      <c r="C644" s="250"/>
      <c r="D644" s="249"/>
      <c r="E644" s="250"/>
      <c r="F644" s="237"/>
      <c r="G644" s="243"/>
      <c r="H644" s="237"/>
      <c r="I644" s="243"/>
      <c r="J644" s="237"/>
      <c r="K644" s="243"/>
      <c r="L644" s="237"/>
      <c r="M644" s="243"/>
      <c r="N644" s="237"/>
      <c r="O644" s="243"/>
      <c r="P644" s="237"/>
      <c r="Q644" s="243"/>
      <c r="R644" s="237"/>
      <c r="S644" s="243"/>
      <c r="T644" s="237"/>
      <c r="U644" s="243"/>
      <c r="V644" s="348"/>
      <c r="W644" s="243"/>
      <c r="X644" s="237"/>
      <c r="Y644" s="243"/>
      <c r="Z644" s="237"/>
      <c r="AA644" s="243"/>
      <c r="AB644" s="237"/>
      <c r="AC644" s="243"/>
      <c r="AD644" s="237"/>
      <c r="AE644" s="243"/>
      <c r="AF644" s="237"/>
      <c r="AG644" s="243"/>
      <c r="AH644" s="237"/>
      <c r="AI644" s="243"/>
    </row>
    <row r="645" spans="1:35">
      <c r="B645" s="345" t="s">
        <v>613</v>
      </c>
      <c r="C645" s="243"/>
      <c r="D645" s="237">
        <f>F645+H645+J645+L645+N645+P645+R645+T645+V645+X645+Z645+AB645+AD645+AF645+AH645</f>
        <v>1625577289</v>
      </c>
      <c r="E645" s="243"/>
      <c r="F645" s="237"/>
      <c r="G645" s="243"/>
      <c r="H645" s="237"/>
      <c r="I645" s="243"/>
      <c r="J645" s="237"/>
      <c r="K645" s="243"/>
      <c r="L645" s="237"/>
      <c r="M645" s="243"/>
      <c r="N645" s="237"/>
      <c r="O645" s="243"/>
      <c r="P645" s="237"/>
      <c r="Q645" s="243"/>
      <c r="R645" s="237"/>
      <c r="S645" s="243"/>
      <c r="T645" s="237"/>
      <c r="U645" s="243"/>
      <c r="V645" s="348"/>
      <c r="W645" s="243"/>
      <c r="X645" s="237"/>
      <c r="Y645" s="243"/>
      <c r="Z645" s="237"/>
      <c r="AA645" s="243"/>
      <c r="AB645" s="237"/>
      <c r="AC645" s="243"/>
      <c r="AD645" s="237">
        <v>1625577289</v>
      </c>
      <c r="AE645" s="243"/>
      <c r="AF645" s="237"/>
      <c r="AG645" s="243"/>
      <c r="AH645" s="237"/>
      <c r="AI645" s="243"/>
    </row>
    <row r="646" spans="1:35">
      <c r="B646" s="345" t="s">
        <v>614</v>
      </c>
      <c r="C646" s="243"/>
      <c r="D646" s="237">
        <f>F646+H646+J646+L646+N646+P646+R646+T646+V646+X646+Z646+AB646+AD646+AF646+AH646</f>
        <v>946448373</v>
      </c>
      <c r="E646" s="243"/>
      <c r="F646" s="253"/>
      <c r="G646" s="243"/>
      <c r="H646" s="237"/>
      <c r="I646" s="243"/>
      <c r="J646" s="237"/>
      <c r="K646" s="243"/>
      <c r="L646" s="237"/>
      <c r="M646" s="243"/>
      <c r="N646" s="237"/>
      <c r="O646" s="243"/>
      <c r="P646" s="237"/>
      <c r="Q646" s="243"/>
      <c r="R646" s="237"/>
      <c r="S646" s="243"/>
      <c r="T646" s="237"/>
      <c r="U646" s="243"/>
      <c r="V646" s="348"/>
      <c r="W646" s="243"/>
      <c r="X646" s="237"/>
      <c r="Y646" s="243"/>
      <c r="Z646" s="237"/>
      <c r="AA646" s="243"/>
      <c r="AB646" s="237"/>
      <c r="AC646" s="243"/>
      <c r="AD646" s="237">
        <v>946448373</v>
      </c>
      <c r="AE646" s="243"/>
      <c r="AF646" s="237"/>
      <c r="AG646" s="243"/>
      <c r="AH646" s="237"/>
      <c r="AI646" s="243"/>
    </row>
    <row r="647" spans="1:35" ht="12" thickBot="1">
      <c r="B647" s="345" t="s">
        <v>615</v>
      </c>
      <c r="C647" s="243"/>
      <c r="D647" s="245"/>
      <c r="E647" s="243">
        <f>+D645-D646</f>
        <v>679128916</v>
      </c>
      <c r="F647" s="245"/>
      <c r="G647" s="243">
        <f>+F645-F646</f>
        <v>0</v>
      </c>
      <c r="H647" s="245"/>
      <c r="I647" s="243">
        <f>+H645-H646</f>
        <v>0</v>
      </c>
      <c r="J647" s="245"/>
      <c r="K647" s="243">
        <f>+J645-J646</f>
        <v>0</v>
      </c>
      <c r="L647" s="245"/>
      <c r="M647" s="243">
        <f>+L645-L646</f>
        <v>0</v>
      </c>
      <c r="N647" s="245"/>
      <c r="O647" s="243">
        <f>+N645-N646</f>
        <v>0</v>
      </c>
      <c r="P647" s="245"/>
      <c r="Q647" s="243">
        <f>+P645-P646</f>
        <v>0</v>
      </c>
      <c r="R647" s="245"/>
      <c r="S647" s="243">
        <f>+R645-R646</f>
        <v>0</v>
      </c>
      <c r="T647" s="245"/>
      <c r="U647" s="243">
        <f>+T645-T646</f>
        <v>0</v>
      </c>
      <c r="V647" s="245"/>
      <c r="W647" s="243">
        <f>+V645-V646</f>
        <v>0</v>
      </c>
      <c r="X647" s="245"/>
      <c r="Y647" s="243">
        <f>+X645-X646</f>
        <v>0</v>
      </c>
      <c r="Z647" s="245"/>
      <c r="AA647" s="243">
        <f>+Z645-Z646</f>
        <v>0</v>
      </c>
      <c r="AB647" s="245"/>
      <c r="AC647" s="243">
        <f>+AB645-AB646</f>
        <v>0</v>
      </c>
      <c r="AD647" s="245"/>
      <c r="AE647" s="243">
        <f>+AD645-AD646</f>
        <v>679128916</v>
      </c>
      <c r="AF647" s="245"/>
      <c r="AG647" s="243">
        <f>+AF645-AF646</f>
        <v>0</v>
      </c>
      <c r="AH647" s="245"/>
      <c r="AI647" s="243">
        <f>+AH645-AH646</f>
        <v>0</v>
      </c>
    </row>
    <row r="648" spans="1:35">
      <c r="B648" s="781" t="s">
        <v>625</v>
      </c>
      <c r="C648" s="243"/>
      <c r="D648" s="237"/>
      <c r="E648" s="243"/>
      <c r="F648" s="237"/>
      <c r="G648" s="243"/>
      <c r="H648" s="237"/>
      <c r="I648" s="243"/>
      <c r="J648" s="237"/>
      <c r="K648" s="243"/>
      <c r="L648" s="237"/>
      <c r="M648" s="243"/>
      <c r="N648" s="237"/>
      <c r="O648" s="243"/>
      <c r="P648" s="237"/>
      <c r="Q648" s="243"/>
      <c r="R648" s="237"/>
      <c r="S648" s="243"/>
      <c r="T648" s="237"/>
      <c r="U648" s="243"/>
      <c r="V648" s="348"/>
      <c r="W648" s="243"/>
      <c r="X648" s="237"/>
      <c r="Y648" s="243"/>
      <c r="Z648" s="237"/>
      <c r="AA648" s="243"/>
      <c r="AB648" s="237"/>
      <c r="AC648" s="243"/>
      <c r="AD648" s="237"/>
      <c r="AE648" s="243"/>
      <c r="AF648" s="237"/>
      <c r="AG648" s="243"/>
      <c r="AH648" s="237"/>
      <c r="AI648" s="243"/>
    </row>
    <row r="649" spans="1:35">
      <c r="B649" s="345" t="s">
        <v>613</v>
      </c>
      <c r="C649" s="243"/>
      <c r="D649" s="237">
        <f>F649+H649+J649+L649+N649+P649+R649+T649+V649+X649+Z649+AB649+AD649+AF649+AH649</f>
        <v>0</v>
      </c>
      <c r="E649" s="243"/>
      <c r="F649" s="237"/>
      <c r="G649" s="243"/>
      <c r="H649" s="237"/>
      <c r="I649" s="243"/>
      <c r="J649" s="237"/>
      <c r="K649" s="243"/>
      <c r="L649" s="237"/>
      <c r="M649" s="243"/>
      <c r="N649" s="237"/>
      <c r="O649" s="243"/>
      <c r="P649" s="237"/>
      <c r="Q649" s="243"/>
      <c r="R649" s="237"/>
      <c r="S649" s="243"/>
      <c r="T649" s="237"/>
      <c r="U649" s="243"/>
      <c r="V649" s="348"/>
      <c r="W649" s="243"/>
      <c r="X649" s="237"/>
      <c r="Y649" s="243"/>
      <c r="Z649" s="237"/>
      <c r="AA649" s="243"/>
      <c r="AB649" s="237"/>
      <c r="AC649" s="243"/>
      <c r="AD649" s="237"/>
      <c r="AE649" s="243"/>
      <c r="AF649" s="237"/>
      <c r="AG649" s="243"/>
      <c r="AH649" s="237"/>
      <c r="AI649" s="243"/>
    </row>
    <row r="650" spans="1:35">
      <c r="B650" s="345" t="s">
        <v>614</v>
      </c>
      <c r="C650" s="243"/>
      <c r="D650" s="237">
        <f>F650+H650+J650+L650+N650+P650+R650+T650+V650+X650+Z650+AB650+AD650+AF650+AH650</f>
        <v>0</v>
      </c>
      <c r="E650" s="243"/>
      <c r="F650" s="237"/>
      <c r="G650" s="243"/>
      <c r="H650" s="237"/>
      <c r="I650" s="243"/>
      <c r="J650" s="237"/>
      <c r="K650" s="243"/>
      <c r="L650" s="237"/>
      <c r="M650" s="243"/>
      <c r="N650" s="237"/>
      <c r="O650" s="243"/>
      <c r="P650" s="237"/>
      <c r="Q650" s="243"/>
      <c r="R650" s="237"/>
      <c r="S650" s="243"/>
      <c r="T650" s="237"/>
      <c r="U650" s="243"/>
      <c r="V650" s="348"/>
      <c r="W650" s="243"/>
      <c r="X650" s="237"/>
      <c r="Y650" s="243"/>
      <c r="Z650" s="237"/>
      <c r="AA650" s="243"/>
      <c r="AB650" s="237"/>
      <c r="AC650" s="243"/>
      <c r="AD650" s="237"/>
      <c r="AE650" s="243"/>
      <c r="AF650" s="237"/>
      <c r="AG650" s="243"/>
      <c r="AH650" s="237"/>
      <c r="AI650" s="243"/>
    </row>
    <row r="651" spans="1:35" ht="21.75" thickBot="1">
      <c r="B651" s="345" t="s">
        <v>616</v>
      </c>
      <c r="C651" s="243"/>
      <c r="D651" s="245"/>
      <c r="E651" s="243">
        <f>+D649-D650</f>
        <v>0</v>
      </c>
      <c r="F651" s="245"/>
      <c r="G651" s="243">
        <f>+F649-F650</f>
        <v>0</v>
      </c>
      <c r="H651" s="245"/>
      <c r="I651" s="243">
        <f>+H649-H650</f>
        <v>0</v>
      </c>
      <c r="J651" s="245"/>
      <c r="K651" s="243">
        <f>+J649-J650</f>
        <v>0</v>
      </c>
      <c r="L651" s="245"/>
      <c r="M651" s="243">
        <f>+L649-L650</f>
        <v>0</v>
      </c>
      <c r="N651" s="245"/>
      <c r="O651" s="243">
        <f>+N649-N650</f>
        <v>0</v>
      </c>
      <c r="P651" s="245"/>
      <c r="Q651" s="243">
        <f>+P649-P650</f>
        <v>0</v>
      </c>
      <c r="R651" s="245"/>
      <c r="S651" s="243">
        <f>+R649-R650</f>
        <v>0</v>
      </c>
      <c r="T651" s="245"/>
      <c r="U651" s="243">
        <f>+T649-T650</f>
        <v>0</v>
      </c>
      <c r="V651" s="245"/>
      <c r="W651" s="243">
        <f>+V649-V650</f>
        <v>0</v>
      </c>
      <c r="X651" s="245"/>
      <c r="Y651" s="243">
        <f>+X649-X650</f>
        <v>0</v>
      </c>
      <c r="Z651" s="245"/>
      <c r="AA651" s="243">
        <f>+Z649-Z650</f>
        <v>0</v>
      </c>
      <c r="AB651" s="245"/>
      <c r="AC651" s="243">
        <f>+AB649-AB650</f>
        <v>0</v>
      </c>
      <c r="AD651" s="245"/>
      <c r="AE651" s="243">
        <f>+AD649-AD650</f>
        <v>0</v>
      </c>
      <c r="AF651" s="245"/>
      <c r="AG651" s="243">
        <f>+AF649-AF650</f>
        <v>0</v>
      </c>
      <c r="AH651" s="245"/>
      <c r="AI651" s="243">
        <f>+AH649-AH650</f>
        <v>0</v>
      </c>
    </row>
    <row r="652" spans="1:35">
      <c r="B652" s="781" t="s">
        <v>626</v>
      </c>
      <c r="C652" s="243"/>
      <c r="D652" s="237"/>
      <c r="E652" s="243"/>
      <c r="F652" s="237"/>
      <c r="G652" s="243"/>
      <c r="H652" s="237"/>
      <c r="I652" s="243"/>
      <c r="J652" s="237"/>
      <c r="K652" s="243"/>
      <c r="L652" s="237"/>
      <c r="M652" s="243"/>
      <c r="N652" s="237"/>
      <c r="O652" s="243"/>
      <c r="P652" s="237"/>
      <c r="Q652" s="243"/>
      <c r="R652" s="237"/>
      <c r="S652" s="243"/>
      <c r="T652" s="237"/>
      <c r="U652" s="243"/>
      <c r="V652" s="348"/>
      <c r="W652" s="243"/>
      <c r="X652" s="237"/>
      <c r="Y652" s="243"/>
      <c r="Z652" s="237"/>
      <c r="AA652" s="243"/>
      <c r="AB652" s="237"/>
      <c r="AC652" s="243"/>
      <c r="AD652" s="237"/>
      <c r="AE652" s="243"/>
      <c r="AF652" s="237"/>
      <c r="AG652" s="243"/>
      <c r="AH652" s="237"/>
      <c r="AI652" s="243"/>
    </row>
    <row r="653" spans="1:35">
      <c r="B653" s="345" t="s">
        <v>617</v>
      </c>
      <c r="C653" s="243"/>
      <c r="D653" s="753">
        <f>F653+H653+J653+L653+N653+P653+R653+T653+V653+X653+Z653+AB653+AD653+AF653+AH653</f>
        <v>7357822110</v>
      </c>
      <c r="E653" s="243"/>
      <c r="F653" s="237"/>
      <c r="G653" s="243"/>
      <c r="H653" s="237">
        <v>191724793</v>
      </c>
      <c r="I653" s="243"/>
      <c r="J653" s="753">
        <f>1697454183-260632584+1</f>
        <v>1436821600</v>
      </c>
      <c r="K653" s="243"/>
      <c r="L653" s="237">
        <v>106269268</v>
      </c>
      <c r="M653" s="243"/>
      <c r="N653" s="237">
        <v>59917078</v>
      </c>
      <c r="O653" s="243"/>
      <c r="P653" s="237">
        <v>3102832033</v>
      </c>
      <c r="Q653" s="243"/>
      <c r="R653" s="237">
        <v>66563955</v>
      </c>
      <c r="S653" s="243"/>
      <c r="T653" s="237">
        <v>68477788</v>
      </c>
      <c r="U653" s="243"/>
      <c r="V653" s="348">
        <v>177391578</v>
      </c>
      <c r="W653" s="243"/>
      <c r="X653" s="237">
        <v>51845767</v>
      </c>
      <c r="Y653" s="243"/>
      <c r="Z653" s="237">
        <v>144288092</v>
      </c>
      <c r="AA653" s="243"/>
      <c r="AB653" s="237">
        <v>1800502783</v>
      </c>
      <c r="AC653" s="243"/>
      <c r="AD653" s="237">
        <f>1684098707-AD645</f>
        <v>58521418</v>
      </c>
      <c r="AE653" s="243"/>
      <c r="AF653" s="237">
        <v>92665957</v>
      </c>
      <c r="AG653" s="243"/>
      <c r="AH653" s="237"/>
      <c r="AI653" s="243"/>
    </row>
    <row r="654" spans="1:35">
      <c r="B654" s="345" t="s">
        <v>618</v>
      </c>
      <c r="C654" s="243"/>
      <c r="D654" s="237">
        <f>F654+H654+J654+L654+N654+P654+R654+T654+V654+X654+Z654+AB654+AD654+AF654+AH654</f>
        <v>7949188203</v>
      </c>
      <c r="E654" s="243"/>
      <c r="F654" s="237">
        <v>806678</v>
      </c>
      <c r="G654" s="243"/>
      <c r="H654" s="237">
        <v>56907149</v>
      </c>
      <c r="I654" s="243"/>
      <c r="J654" s="237">
        <v>781128721</v>
      </c>
      <c r="K654" s="243"/>
      <c r="L654" s="237">
        <v>1226240666</v>
      </c>
      <c r="M654" s="243"/>
      <c r="N654" s="237">
        <v>40771149</v>
      </c>
      <c r="O654" s="243"/>
      <c r="P654" s="237">
        <v>692474339</v>
      </c>
      <c r="Q654" s="243"/>
      <c r="R654" s="237">
        <f>37478145+1</f>
        <v>37478146</v>
      </c>
      <c r="S654" s="243"/>
      <c r="T654" s="237">
        <v>3506721399</v>
      </c>
      <c r="U654" s="243"/>
      <c r="V654" s="348">
        <v>1016070609</v>
      </c>
      <c r="W654" s="243"/>
      <c r="X654" s="237">
        <v>42445999</v>
      </c>
      <c r="Y654" s="243"/>
      <c r="Z654" s="237">
        <v>138934772</v>
      </c>
      <c r="AA654" s="243"/>
      <c r="AB654" s="237">
        <v>43861865</v>
      </c>
      <c r="AC654" s="243"/>
      <c r="AD654" s="237">
        <f>967812074-AD646</f>
        <v>21363701</v>
      </c>
      <c r="AE654" s="243"/>
      <c r="AF654" s="237">
        <v>343983010</v>
      </c>
      <c r="AG654" s="243"/>
      <c r="AH654" s="237"/>
      <c r="AI654" s="243"/>
    </row>
    <row r="655" spans="1:35" ht="12" thickBot="1">
      <c r="B655" s="345" t="s">
        <v>619</v>
      </c>
      <c r="C655" s="243"/>
      <c r="D655" s="245"/>
      <c r="E655" s="243">
        <f>+D653-D654</f>
        <v>-591366093</v>
      </c>
      <c r="F655" s="245"/>
      <c r="G655" s="243">
        <f>+F653-F654</f>
        <v>-806678</v>
      </c>
      <c r="H655" s="245"/>
      <c r="I655" s="243">
        <f>+H653-H654</f>
        <v>134817644</v>
      </c>
      <c r="J655" s="245"/>
      <c r="K655" s="243">
        <f>+J653-J654</f>
        <v>655692879</v>
      </c>
      <c r="L655" s="245"/>
      <c r="M655" s="243">
        <f>+L653-L654</f>
        <v>-1119971398</v>
      </c>
      <c r="N655" s="245"/>
      <c r="O655" s="243">
        <f>+N653-N654</f>
        <v>19145929</v>
      </c>
      <c r="P655" s="245"/>
      <c r="Q655" s="243">
        <f>+P653-P654</f>
        <v>2410357694</v>
      </c>
      <c r="R655" s="245"/>
      <c r="S655" s="243">
        <f>+R653-R654</f>
        <v>29085809</v>
      </c>
      <c r="T655" s="245"/>
      <c r="U655" s="243">
        <f>+T653-T654</f>
        <v>-3438243611</v>
      </c>
      <c r="V655" s="245"/>
      <c r="W655" s="243">
        <f>+V653-V654</f>
        <v>-838679031</v>
      </c>
      <c r="X655" s="245"/>
      <c r="Y655" s="243">
        <f>+X653-X654</f>
        <v>9399768</v>
      </c>
      <c r="Z655" s="245"/>
      <c r="AA655" s="243">
        <f>+Z653-Z654</f>
        <v>5353320</v>
      </c>
      <c r="AB655" s="245"/>
      <c r="AC655" s="243">
        <f>+AB653-AB654</f>
        <v>1756640918</v>
      </c>
      <c r="AD655" s="245"/>
      <c r="AE655" s="243">
        <f>+AD653-AD654</f>
        <v>37157717</v>
      </c>
      <c r="AF655" s="245"/>
      <c r="AG655" s="243">
        <f>+AF653-AF654</f>
        <v>-251317053</v>
      </c>
      <c r="AH655" s="245"/>
      <c r="AI655" s="243">
        <f>+AH653-AH654</f>
        <v>0</v>
      </c>
    </row>
    <row r="656" spans="1:35">
      <c r="B656" s="345"/>
      <c r="C656" s="243"/>
      <c r="D656" s="237"/>
      <c r="E656" s="243"/>
      <c r="F656" s="237"/>
      <c r="G656" s="243"/>
      <c r="H656" s="237"/>
      <c r="I656" s="243"/>
      <c r="J656" s="237"/>
      <c r="K656" s="243"/>
      <c r="L656" s="237"/>
      <c r="M656" s="243"/>
      <c r="N656" s="237"/>
      <c r="O656" s="243"/>
      <c r="P656" s="237"/>
      <c r="Q656" s="243"/>
      <c r="R656" s="237"/>
      <c r="S656" s="243"/>
      <c r="T656" s="237"/>
      <c r="U656" s="243"/>
      <c r="V656" s="348"/>
      <c r="W656" s="243"/>
      <c r="X656" s="237"/>
      <c r="Y656" s="243"/>
      <c r="Z656" s="237"/>
      <c r="AA656" s="243"/>
      <c r="AB656" s="237"/>
      <c r="AC656" s="243"/>
      <c r="AD656" s="237"/>
      <c r="AE656" s="243"/>
      <c r="AF656" s="237"/>
      <c r="AG656" s="243"/>
      <c r="AH656" s="237"/>
      <c r="AI656" s="243"/>
    </row>
    <row r="657" spans="2:35" ht="12" thickBot="1">
      <c r="B657" s="784" t="s">
        <v>620</v>
      </c>
      <c r="C657" s="243"/>
      <c r="D657" s="237"/>
      <c r="E657" s="246">
        <f>SUM(E644:E656)</f>
        <v>87762823</v>
      </c>
      <c r="F657" s="237"/>
      <c r="G657" s="246">
        <f>SUM(G644:G656)</f>
        <v>-806678</v>
      </c>
      <c r="H657" s="237"/>
      <c r="I657" s="246">
        <f>SUM(I644:I656)</f>
        <v>134817644</v>
      </c>
      <c r="J657" s="237"/>
      <c r="K657" s="246">
        <f>SUM(K644:K656)</f>
        <v>655692879</v>
      </c>
      <c r="L657" s="237"/>
      <c r="M657" s="246">
        <f>SUM(M644:M656)</f>
        <v>-1119971398</v>
      </c>
      <c r="N657" s="237"/>
      <c r="O657" s="246">
        <f>SUM(O644:O656)</f>
        <v>19145929</v>
      </c>
      <c r="P657" s="237"/>
      <c r="Q657" s="246">
        <f>SUM(Q644:Q656)</f>
        <v>2410357694</v>
      </c>
      <c r="R657" s="237"/>
      <c r="S657" s="246">
        <f>SUM(S644:S656)</f>
        <v>29085809</v>
      </c>
      <c r="T657" s="237"/>
      <c r="U657" s="246">
        <f>SUM(U644:U656)</f>
        <v>-3438243611</v>
      </c>
      <c r="V657" s="348"/>
      <c r="W657" s="246">
        <f>SUM(W644:W656)</f>
        <v>-838679031</v>
      </c>
      <c r="X657" s="237"/>
      <c r="Y657" s="246">
        <f>SUM(Y644:Y656)</f>
        <v>9399768</v>
      </c>
      <c r="Z657" s="237"/>
      <c r="AA657" s="246">
        <f>SUM(AA644:AA656)</f>
        <v>5353320</v>
      </c>
      <c r="AB657" s="237"/>
      <c r="AC657" s="246">
        <f>SUM(AC644:AC656)</f>
        <v>1756640918</v>
      </c>
      <c r="AD657" s="237"/>
      <c r="AE657" s="246">
        <f>SUM(AE644:AE656)</f>
        <v>716286633</v>
      </c>
      <c r="AF657" s="237"/>
      <c r="AG657" s="246">
        <f>SUM(AG644:AG656)</f>
        <v>-251317053</v>
      </c>
      <c r="AH657" s="237"/>
      <c r="AI657" s="246">
        <f>SUM(AI644:AI656)</f>
        <v>0</v>
      </c>
    </row>
    <row r="658" spans="2:35" ht="12.75" thickTop="1" thickBot="1">
      <c r="B658" s="245"/>
      <c r="C658" s="247"/>
      <c r="D658" s="245"/>
      <c r="E658" s="247"/>
      <c r="F658" s="245"/>
      <c r="G658" s="247"/>
      <c r="H658" s="245"/>
      <c r="I658" s="247"/>
      <c r="J658" s="245"/>
      <c r="K658" s="247"/>
      <c r="L658" s="245"/>
      <c r="M658" s="247"/>
      <c r="N658" s="245"/>
      <c r="O658" s="247"/>
      <c r="P658" s="245"/>
      <c r="Q658" s="247"/>
      <c r="R658" s="245"/>
      <c r="S658" s="247"/>
      <c r="T658" s="245"/>
      <c r="U658" s="247"/>
      <c r="V658" s="344"/>
      <c r="W658" s="247"/>
      <c r="X658" s="245"/>
      <c r="Y658" s="247"/>
      <c r="Z658" s="245"/>
      <c r="AA658" s="247"/>
      <c r="AB658" s="245"/>
      <c r="AC658" s="247"/>
      <c r="AD658" s="245"/>
      <c r="AE658" s="247"/>
      <c r="AF658" s="245"/>
      <c r="AG658" s="247"/>
      <c r="AH658" s="245"/>
      <c r="AI658" s="247"/>
    </row>
    <row r="660" spans="2:35">
      <c r="B660" s="318" t="s">
        <v>1042</v>
      </c>
      <c r="C660" s="451"/>
      <c r="D660" s="451"/>
      <c r="E660" s="451"/>
      <c r="F660" s="451"/>
      <c r="G660" s="451"/>
      <c r="H660" s="451"/>
      <c r="I660" s="451"/>
      <c r="J660" s="451"/>
      <c r="K660" s="451"/>
      <c r="L660" s="451"/>
      <c r="M660" s="451"/>
      <c r="N660" s="451"/>
      <c r="O660" s="451"/>
      <c r="P660" s="451"/>
      <c r="Q660" s="451"/>
      <c r="R660" s="451"/>
      <c r="S660" s="451"/>
      <c r="T660" s="451"/>
      <c r="U660" s="451"/>
      <c r="V660" s="405"/>
      <c r="W660" s="451"/>
      <c r="X660" s="451"/>
      <c r="Y660" s="451"/>
      <c r="Z660" s="451"/>
      <c r="AA660" s="451"/>
      <c r="AB660" s="451"/>
      <c r="AC660" s="451"/>
      <c r="AD660" s="451"/>
      <c r="AE660" s="451"/>
      <c r="AF660" s="451"/>
      <c r="AG660" s="451"/>
      <c r="AH660" s="451"/>
      <c r="AI660" s="451"/>
    </row>
    <row r="661" spans="2:35" ht="12" thickBot="1">
      <c r="B661" s="451"/>
      <c r="C661" s="451"/>
      <c r="D661" s="451"/>
      <c r="E661" s="451"/>
      <c r="F661" s="451"/>
      <c r="G661" s="335" t="s">
        <v>247</v>
      </c>
      <c r="H661" s="451"/>
      <c r="I661" s="451"/>
      <c r="J661" s="451"/>
      <c r="K661" s="451"/>
      <c r="L661" s="451"/>
      <c r="M661" s="451"/>
      <c r="N661" s="451"/>
      <c r="O661" s="451"/>
      <c r="P661" s="451"/>
      <c r="Q661" s="451"/>
      <c r="R661" s="451"/>
      <c r="S661" s="451"/>
      <c r="T661" s="451"/>
      <c r="U661" s="451"/>
      <c r="V661" s="405"/>
      <c r="W661" s="451"/>
      <c r="X661" s="451"/>
      <c r="Y661" s="451"/>
      <c r="Z661" s="451"/>
      <c r="AA661" s="451"/>
      <c r="AB661" s="451"/>
      <c r="AC661" s="451"/>
      <c r="AD661" s="451"/>
      <c r="AE661" s="451"/>
      <c r="AF661" s="451"/>
      <c r="AG661" s="451"/>
      <c r="AH661" s="451"/>
      <c r="AI661" s="451"/>
    </row>
    <row r="662" spans="2:35" ht="12" thickBot="1">
      <c r="B662" s="425"/>
      <c r="C662" s="271"/>
      <c r="D662" s="1463" t="s">
        <v>860</v>
      </c>
      <c r="E662" s="1464"/>
      <c r="F662" s="1463" t="s">
        <v>17</v>
      </c>
      <c r="G662" s="1464"/>
      <c r="H662" s="1463" t="s">
        <v>18</v>
      </c>
      <c r="I662" s="1464"/>
      <c r="J662" s="1463" t="s">
        <v>19</v>
      </c>
      <c r="K662" s="1464"/>
      <c r="L662" s="1463" t="s">
        <v>20</v>
      </c>
      <c r="M662" s="1464"/>
      <c r="N662" s="1463" t="s">
        <v>21</v>
      </c>
      <c r="O662" s="1464"/>
      <c r="P662" s="1463" t="s">
        <v>22</v>
      </c>
      <c r="Q662" s="1464"/>
      <c r="R662" s="1463" t="s">
        <v>23</v>
      </c>
      <c r="S662" s="1464"/>
      <c r="T662" s="1463" t="s">
        <v>24</v>
      </c>
      <c r="U662" s="1464"/>
      <c r="V662" s="1463" t="s">
        <v>25</v>
      </c>
      <c r="W662" s="1464"/>
      <c r="X662" s="1463" t="s">
        <v>26</v>
      </c>
      <c r="Y662" s="1464"/>
      <c r="Z662" s="1463" t="s">
        <v>27</v>
      </c>
      <c r="AA662" s="1464"/>
      <c r="AB662" s="1463" t="s">
        <v>28</v>
      </c>
      <c r="AC662" s="1464"/>
      <c r="AD662" s="1463" t="s">
        <v>29</v>
      </c>
      <c r="AE662" s="1464"/>
      <c r="AF662" s="1463" t="s">
        <v>30</v>
      </c>
      <c r="AG662" s="1464"/>
      <c r="AH662" s="1463" t="s">
        <v>31</v>
      </c>
      <c r="AI662" s="1464"/>
    </row>
    <row r="663" spans="2:35">
      <c r="B663" s="450" t="s">
        <v>988</v>
      </c>
      <c r="C663" s="559"/>
      <c r="D663" s="260"/>
      <c r="E663" s="261"/>
      <c r="F663" s="559"/>
      <c r="G663" s="261"/>
      <c r="H663" s="559"/>
      <c r="I663" s="261"/>
      <c r="J663" s="559"/>
      <c r="K663" s="261"/>
      <c r="L663" s="559"/>
      <c r="M663" s="261"/>
      <c r="N663" s="559"/>
      <c r="O663" s="261"/>
      <c r="P663" s="559"/>
      <c r="Q663" s="261"/>
      <c r="R663" s="559"/>
      <c r="S663" s="261"/>
      <c r="T663" s="559"/>
      <c r="U663" s="261"/>
      <c r="V663" s="559"/>
      <c r="W663" s="261"/>
      <c r="X663" s="559"/>
      <c r="Y663" s="261"/>
      <c r="Z663" s="559"/>
      <c r="AA663" s="261"/>
      <c r="AB663" s="559"/>
      <c r="AC663" s="261"/>
      <c r="AD663" s="559"/>
      <c r="AE663" s="261"/>
      <c r="AF663" s="559"/>
      <c r="AG663" s="261"/>
      <c r="AH663" s="559"/>
      <c r="AI663" s="261"/>
    </row>
    <row r="664" spans="2:35">
      <c r="B664" s="364" t="s">
        <v>1044</v>
      </c>
      <c r="C664" s="269"/>
      <c r="D664" s="262">
        <f t="shared" ref="D664:D677" si="28">F664+H664+J664+L664+N664+P664+R664+T664+V664+X664+Z664+AB664+AD664+AF664+AH664</f>
        <v>1174809010</v>
      </c>
      <c r="E664" s="263"/>
      <c r="F664" s="269">
        <v>412005740</v>
      </c>
      <c r="G664" s="263"/>
      <c r="H664" s="269">
        <v>23330863</v>
      </c>
      <c r="I664" s="263"/>
      <c r="J664" s="269">
        <v>25398749</v>
      </c>
      <c r="K664" s="263"/>
      <c r="L664" s="269">
        <v>23137387</v>
      </c>
      <c r="M664" s="263"/>
      <c r="N664" s="269">
        <v>49102560</v>
      </c>
      <c r="O664" s="263"/>
      <c r="P664" s="269">
        <f>104066191+1</f>
        <v>104066192</v>
      </c>
      <c r="Q664" s="263"/>
      <c r="R664" s="269">
        <v>24658047</v>
      </c>
      <c r="S664" s="263"/>
      <c r="T664" s="269">
        <v>104763168</v>
      </c>
      <c r="U664" s="263"/>
      <c r="V664" s="727">
        <v>87485168</v>
      </c>
      <c r="W664" s="263"/>
      <c r="X664" s="269">
        <v>17916810</v>
      </c>
      <c r="Y664" s="263"/>
      <c r="Z664" s="269">
        <v>44743109</v>
      </c>
      <c r="AA664" s="263"/>
      <c r="AB664" s="269">
        <v>38441767</v>
      </c>
      <c r="AC664" s="263"/>
      <c r="AD664" s="269">
        <v>82655343</v>
      </c>
      <c r="AE664" s="263"/>
      <c r="AF664" s="269">
        <v>113146114</v>
      </c>
      <c r="AG664" s="263"/>
      <c r="AH664" s="269">
        <v>23957993</v>
      </c>
      <c r="AI664" s="263"/>
    </row>
    <row r="665" spans="2:35">
      <c r="B665" s="364" t="s">
        <v>1045</v>
      </c>
      <c r="C665" s="269"/>
      <c r="D665" s="262">
        <f t="shared" si="28"/>
        <v>128952580</v>
      </c>
      <c r="E665" s="263"/>
      <c r="F665" s="269">
        <v>39836813</v>
      </c>
      <c r="G665" s="263"/>
      <c r="H665" s="269">
        <v>3876669</v>
      </c>
      <c r="I665" s="263"/>
      <c r="J665" s="269">
        <v>3197625</v>
      </c>
      <c r="K665" s="263"/>
      <c r="L665" s="269">
        <v>5352120</v>
      </c>
      <c r="M665" s="263"/>
      <c r="N665" s="269">
        <v>7964017</v>
      </c>
      <c r="O665" s="263"/>
      <c r="P665" s="269">
        <v>10523377</v>
      </c>
      <c r="Q665" s="263"/>
      <c r="R665" s="269">
        <v>1574263</v>
      </c>
      <c r="S665" s="263"/>
      <c r="T665" s="269">
        <v>8271333</v>
      </c>
      <c r="U665" s="263"/>
      <c r="V665" s="727">
        <v>8176274</v>
      </c>
      <c r="W665" s="263"/>
      <c r="X665" s="269">
        <v>1856283</v>
      </c>
      <c r="Y665" s="263"/>
      <c r="Z665" s="269">
        <v>5016812</v>
      </c>
      <c r="AA665" s="263"/>
      <c r="AB665" s="269">
        <v>2050426</v>
      </c>
      <c r="AC665" s="263"/>
      <c r="AD665" s="269">
        <v>12777261</v>
      </c>
      <c r="AE665" s="263"/>
      <c r="AF665" s="269">
        <v>16109565</v>
      </c>
      <c r="AG665" s="263"/>
      <c r="AH665" s="269">
        <v>2369742</v>
      </c>
      <c r="AI665" s="263"/>
    </row>
    <row r="666" spans="2:35">
      <c r="B666" s="364" t="s">
        <v>1046</v>
      </c>
      <c r="C666" s="269"/>
      <c r="D666" s="262">
        <f t="shared" si="28"/>
        <v>28445360</v>
      </c>
      <c r="E666" s="263"/>
      <c r="F666" s="269"/>
      <c r="G666" s="263"/>
      <c r="H666" s="269">
        <v>5000</v>
      </c>
      <c r="I666" s="263"/>
      <c r="J666" s="269"/>
      <c r="K666" s="263"/>
      <c r="L666" s="269"/>
      <c r="M666" s="263"/>
      <c r="N666" s="269">
        <v>25500</v>
      </c>
      <c r="O666" s="263"/>
      <c r="P666" s="269">
        <v>0</v>
      </c>
      <c r="Q666" s="263"/>
      <c r="R666" s="269"/>
      <c r="S666" s="263"/>
      <c r="T666" s="269">
        <v>0</v>
      </c>
      <c r="U666" s="263"/>
      <c r="V666" s="727">
        <v>0</v>
      </c>
      <c r="W666" s="263"/>
      <c r="X666" s="269"/>
      <c r="Y666" s="263"/>
      <c r="Z666" s="269"/>
      <c r="AA666" s="263"/>
      <c r="AB666" s="269"/>
      <c r="AC666" s="263"/>
      <c r="AD666" s="269">
        <v>0</v>
      </c>
      <c r="AE666" s="263"/>
      <c r="AF666" s="269">
        <v>35000</v>
      </c>
      <c r="AG666" s="263"/>
      <c r="AH666" s="269">
        <v>28379860</v>
      </c>
      <c r="AI666" s="263"/>
    </row>
    <row r="667" spans="2:35">
      <c r="B667" s="364" t="s">
        <v>1047</v>
      </c>
      <c r="C667" s="269"/>
      <c r="D667" s="262">
        <f t="shared" si="28"/>
        <v>621256</v>
      </c>
      <c r="E667" s="263"/>
      <c r="F667" s="269"/>
      <c r="G667" s="263"/>
      <c r="H667" s="269">
        <v>72936</v>
      </c>
      <c r="I667" s="263"/>
      <c r="J667" s="269">
        <v>10500</v>
      </c>
      <c r="K667" s="263"/>
      <c r="L667" s="269">
        <v>61601</v>
      </c>
      <c r="M667" s="263"/>
      <c r="N667" s="269">
        <v>0</v>
      </c>
      <c r="O667" s="263"/>
      <c r="P667" s="269">
        <v>29244</v>
      </c>
      <c r="Q667" s="263"/>
      <c r="R667" s="269">
        <v>41975</v>
      </c>
      <c r="S667" s="263"/>
      <c r="T667" s="269">
        <v>63000</v>
      </c>
      <c r="U667" s="263"/>
      <c r="V667" s="727">
        <v>0</v>
      </c>
      <c r="W667" s="263"/>
      <c r="X667" s="269"/>
      <c r="Y667" s="263"/>
      <c r="Z667" s="269">
        <v>5326</v>
      </c>
      <c r="AA667" s="263"/>
      <c r="AB667" s="269"/>
      <c r="AC667" s="263"/>
      <c r="AD667" s="269">
        <v>0</v>
      </c>
      <c r="AE667" s="263"/>
      <c r="AF667" s="269">
        <v>0</v>
      </c>
      <c r="AG667" s="263"/>
      <c r="AH667" s="269">
        <v>336674</v>
      </c>
      <c r="AI667" s="263"/>
    </row>
    <row r="668" spans="2:35">
      <c r="B668" s="364" t="s">
        <v>1048</v>
      </c>
      <c r="C668" s="269"/>
      <c r="D668" s="262">
        <f t="shared" si="28"/>
        <v>6251480</v>
      </c>
      <c r="E668" s="263"/>
      <c r="F668" s="269"/>
      <c r="G668" s="263"/>
      <c r="H668" s="269">
        <v>787484</v>
      </c>
      <c r="I668" s="263"/>
      <c r="J668" s="269">
        <v>157510</v>
      </c>
      <c r="K668" s="263"/>
      <c r="L668" s="269"/>
      <c r="M668" s="263"/>
      <c r="N668" s="269">
        <v>688826</v>
      </c>
      <c r="O668" s="263"/>
      <c r="P668" s="269">
        <v>0</v>
      </c>
      <c r="Q668" s="263"/>
      <c r="R668" s="269">
        <v>346577</v>
      </c>
      <c r="S668" s="263"/>
      <c r="T668" s="269">
        <v>2759383</v>
      </c>
      <c r="U668" s="263"/>
      <c r="V668" s="727">
        <v>0</v>
      </c>
      <c r="W668" s="263"/>
      <c r="X668" s="269">
        <v>63384</v>
      </c>
      <c r="Y668" s="263"/>
      <c r="Z668" s="269">
        <v>1128231</v>
      </c>
      <c r="AA668" s="263"/>
      <c r="AB668" s="269"/>
      <c r="AC668" s="263"/>
      <c r="AD668" s="269">
        <v>0</v>
      </c>
      <c r="AE668" s="263"/>
      <c r="AF668" s="269">
        <v>320085</v>
      </c>
      <c r="AG668" s="263"/>
      <c r="AH668" s="269"/>
      <c r="AI668" s="263"/>
    </row>
    <row r="669" spans="2:35">
      <c r="B669" s="364" t="s">
        <v>1049</v>
      </c>
      <c r="C669" s="269"/>
      <c r="D669" s="262">
        <f t="shared" si="28"/>
        <v>111728333</v>
      </c>
      <c r="E669" s="263"/>
      <c r="F669" s="269">
        <v>25548162</v>
      </c>
      <c r="G669" s="263"/>
      <c r="H669" s="727">
        <v>11395045</v>
      </c>
      <c r="I669" s="263"/>
      <c r="J669" s="727">
        <v>1029387</v>
      </c>
      <c r="K669" s="263"/>
      <c r="L669" s="269">
        <v>2499731</v>
      </c>
      <c r="M669" s="263"/>
      <c r="N669" s="269">
        <v>2872316</v>
      </c>
      <c r="O669" s="263"/>
      <c r="P669" s="269">
        <v>38334784</v>
      </c>
      <c r="Q669" s="263"/>
      <c r="R669" s="269">
        <v>1150301</v>
      </c>
      <c r="S669" s="263"/>
      <c r="T669" s="269">
        <v>4423246</v>
      </c>
      <c r="U669" s="263"/>
      <c r="V669" s="727">
        <v>3581821</v>
      </c>
      <c r="W669" s="263"/>
      <c r="X669" s="269">
        <v>498319</v>
      </c>
      <c r="Y669" s="263"/>
      <c r="Z669" s="269">
        <v>2112327</v>
      </c>
      <c r="AA669" s="263"/>
      <c r="AB669" s="269">
        <v>1931034</v>
      </c>
      <c r="AC669" s="263"/>
      <c r="AD669" s="269">
        <v>3757791</v>
      </c>
      <c r="AE669" s="263"/>
      <c r="AF669" s="269">
        <v>6169797</v>
      </c>
      <c r="AG669" s="263"/>
      <c r="AH669" s="269">
        <v>6424272</v>
      </c>
      <c r="AI669" s="263"/>
    </row>
    <row r="670" spans="2:35">
      <c r="B670" s="364" t="s">
        <v>1189</v>
      </c>
      <c r="C670" s="269"/>
      <c r="D670" s="262">
        <f t="shared" si="28"/>
        <v>337259959</v>
      </c>
      <c r="E670" s="263"/>
      <c r="F670" s="269">
        <v>119303083</v>
      </c>
      <c r="G670" s="263"/>
      <c r="H670" s="269">
        <v>1241282</v>
      </c>
      <c r="I670" s="263"/>
      <c r="J670" s="269">
        <v>550085</v>
      </c>
      <c r="K670" s="263"/>
      <c r="L670" s="269">
        <v>5135423</v>
      </c>
      <c r="M670" s="263"/>
      <c r="N670" s="269">
        <v>20373586</v>
      </c>
      <c r="O670" s="263"/>
      <c r="P670" s="269"/>
      <c r="Q670" s="263"/>
      <c r="R670" s="269">
        <v>16929746</v>
      </c>
      <c r="S670" s="263"/>
      <c r="T670" s="269">
        <v>36519016</v>
      </c>
      <c r="U670" s="263"/>
      <c r="V670" s="727">
        <v>49497552</v>
      </c>
      <c r="W670" s="263"/>
      <c r="X670" s="269">
        <v>2747396</v>
      </c>
      <c r="Y670" s="263"/>
      <c r="Z670" s="269">
        <v>22746084</v>
      </c>
      <c r="AA670" s="263"/>
      <c r="AB670" s="269">
        <v>11232287</v>
      </c>
      <c r="AC670" s="263"/>
      <c r="AD670" s="269">
        <v>14475540</v>
      </c>
      <c r="AE670" s="263"/>
      <c r="AF670" s="269">
        <v>36508879</v>
      </c>
      <c r="AG670" s="263"/>
      <c r="AH670" s="269"/>
      <c r="AI670" s="263"/>
    </row>
    <row r="671" spans="2:35">
      <c r="B671" s="364" t="s">
        <v>1050</v>
      </c>
      <c r="C671" s="269"/>
      <c r="D671" s="262">
        <f t="shared" si="28"/>
        <v>155450</v>
      </c>
      <c r="E671" s="263"/>
      <c r="F671" s="269">
        <v>81891</v>
      </c>
      <c r="G671" s="263"/>
      <c r="H671" s="269"/>
      <c r="I671" s="263"/>
      <c r="J671" s="269"/>
      <c r="K671" s="263"/>
      <c r="L671" s="269"/>
      <c r="M671" s="263"/>
      <c r="N671" s="269"/>
      <c r="O671" s="263"/>
      <c r="P671" s="269"/>
      <c r="Q671" s="263"/>
      <c r="R671" s="269">
        <v>6696</v>
      </c>
      <c r="S671" s="263"/>
      <c r="T671" s="269"/>
      <c r="U671" s="263"/>
      <c r="V671" s="727"/>
      <c r="W671" s="263"/>
      <c r="X671" s="269"/>
      <c r="Y671" s="263"/>
      <c r="Z671" s="269">
        <v>40305</v>
      </c>
      <c r="AA671" s="263"/>
      <c r="AB671" s="269"/>
      <c r="AC671" s="263"/>
      <c r="AD671" s="269"/>
      <c r="AE671" s="263"/>
      <c r="AF671" s="269">
        <v>0</v>
      </c>
      <c r="AG671" s="263"/>
      <c r="AH671" s="269">
        <v>26558</v>
      </c>
      <c r="AI671" s="263"/>
    </row>
    <row r="672" spans="2:35" ht="12" thickBot="1">
      <c r="B672" s="364" t="s">
        <v>1051</v>
      </c>
      <c r="C672" s="269"/>
      <c r="D672" s="264">
        <f t="shared" si="28"/>
        <v>1435384</v>
      </c>
      <c r="E672" s="263">
        <f>SUM(D664:D672)</f>
        <v>1789658812</v>
      </c>
      <c r="F672" s="264">
        <v>1227359</v>
      </c>
      <c r="G672" s="263">
        <f>SUM(F664:F672)</f>
        <v>598003048</v>
      </c>
      <c r="H672" s="264"/>
      <c r="I672" s="263">
        <f>SUM(H664:H672)</f>
        <v>40709279</v>
      </c>
      <c r="J672" s="264"/>
      <c r="K672" s="263">
        <f>SUM(J664:J672)</f>
        <v>30343856</v>
      </c>
      <c r="L672" s="264"/>
      <c r="M672" s="263">
        <f>SUM(L664:L672)</f>
        <v>36186262</v>
      </c>
      <c r="N672" s="264"/>
      <c r="O672" s="263">
        <f>SUM(N664:N672)</f>
        <v>81026805</v>
      </c>
      <c r="P672" s="264"/>
      <c r="Q672" s="263">
        <f>SUM(P664:P672)</f>
        <v>152953597</v>
      </c>
      <c r="R672" s="264"/>
      <c r="S672" s="263">
        <f>SUM(R664:R672)</f>
        <v>44707605</v>
      </c>
      <c r="T672" s="264"/>
      <c r="U672" s="263">
        <f>SUM(T664:T672)</f>
        <v>156799146</v>
      </c>
      <c r="V672" s="264"/>
      <c r="W672" s="263">
        <f>SUM(V664:V672)</f>
        <v>148740815</v>
      </c>
      <c r="X672" s="264"/>
      <c r="Y672" s="263">
        <f>SUM(X664:X672)</f>
        <v>23082192</v>
      </c>
      <c r="Z672" s="264"/>
      <c r="AA672" s="263">
        <f>SUM(Z664:Z672)</f>
        <v>75792194</v>
      </c>
      <c r="AB672" s="264"/>
      <c r="AC672" s="263">
        <f>SUM(AB664:AB672)</f>
        <v>53655514</v>
      </c>
      <c r="AD672" s="264"/>
      <c r="AE672" s="263">
        <f>SUM(AD664:AD672)</f>
        <v>113665935</v>
      </c>
      <c r="AF672" s="264">
        <v>0</v>
      </c>
      <c r="AG672" s="263">
        <f>SUM(AF664:AF672)</f>
        <v>172289440</v>
      </c>
      <c r="AH672" s="264">
        <v>208025</v>
      </c>
      <c r="AI672" s="263">
        <f>SUM(AH664:AH672)</f>
        <v>61703124</v>
      </c>
    </row>
    <row r="673" spans="2:35" s="244" customFormat="1" ht="20.25" customHeight="1">
      <c r="B673" s="1478" t="s">
        <v>1039</v>
      </c>
      <c r="C673" s="1479"/>
      <c r="D673" s="262"/>
      <c r="E673" s="263"/>
      <c r="F673" s="269"/>
      <c r="G673" s="263"/>
      <c r="H673" s="269"/>
      <c r="I673" s="263"/>
      <c r="J673" s="269"/>
      <c r="K673" s="263"/>
      <c r="L673" s="269"/>
      <c r="M673" s="263"/>
      <c r="N673" s="269"/>
      <c r="O673" s="263"/>
      <c r="P673" s="269"/>
      <c r="Q673" s="263"/>
      <c r="R673" s="269"/>
      <c r="S673" s="263"/>
      <c r="T673" s="269"/>
      <c r="U673" s="263"/>
      <c r="V673" s="269"/>
      <c r="W673" s="263"/>
      <c r="X673" s="269"/>
      <c r="Y673" s="263"/>
      <c r="Z673" s="269"/>
      <c r="AA673" s="263"/>
      <c r="AB673" s="269"/>
      <c r="AC673" s="263"/>
      <c r="AD673" s="269"/>
      <c r="AE673" s="263"/>
      <c r="AF673" s="269"/>
      <c r="AG673" s="263"/>
      <c r="AH673" s="269"/>
      <c r="AI673" s="263"/>
    </row>
    <row r="674" spans="2:35">
      <c r="B674" s="364" t="s">
        <v>1040</v>
      </c>
      <c r="C674" s="263"/>
      <c r="D674" s="262">
        <f t="shared" si="28"/>
        <v>88452334</v>
      </c>
      <c r="E674" s="263"/>
      <c r="F674" s="262">
        <v>31155417</v>
      </c>
      <c r="G674" s="263"/>
      <c r="H674" s="262">
        <v>1712375</v>
      </c>
      <c r="I674" s="263"/>
      <c r="J674" s="262">
        <v>1909688</v>
      </c>
      <c r="K674" s="263"/>
      <c r="L674" s="262">
        <v>1674060</v>
      </c>
      <c r="M674" s="263"/>
      <c r="N674" s="262">
        <v>3873827</v>
      </c>
      <c r="O674" s="263"/>
      <c r="P674" s="262">
        <v>7937355</v>
      </c>
      <c r="Q674" s="263"/>
      <c r="R674" s="262">
        <v>1916745</v>
      </c>
      <c r="S674" s="263"/>
      <c r="T674" s="262">
        <v>8120857</v>
      </c>
      <c r="U674" s="263"/>
      <c r="V674" s="728">
        <v>6488903</v>
      </c>
      <c r="W674" s="263"/>
      <c r="X674" s="262">
        <v>1355481</v>
      </c>
      <c r="Y674" s="263"/>
      <c r="Z674" s="262">
        <v>3440414</v>
      </c>
      <c r="AA674" s="263"/>
      <c r="AB674" s="262">
        <v>2836896</v>
      </c>
      <c r="AC674" s="263"/>
      <c r="AD674" s="262">
        <v>6059203</v>
      </c>
      <c r="AE674" s="263"/>
      <c r="AF674" s="262">
        <v>8482432</v>
      </c>
      <c r="AG674" s="263"/>
      <c r="AH674" s="262">
        <v>1488681</v>
      </c>
      <c r="AI674" s="263"/>
    </row>
    <row r="675" spans="2:35">
      <c r="B675" s="364" t="s">
        <v>1052</v>
      </c>
      <c r="C675" s="263"/>
      <c r="D675" s="262">
        <f t="shared" si="28"/>
        <v>31681620</v>
      </c>
      <c r="E675" s="263"/>
      <c r="F675" s="262">
        <v>31209407</v>
      </c>
      <c r="G675" s="263"/>
      <c r="H675" s="262"/>
      <c r="I675" s="263"/>
      <c r="J675" s="262"/>
      <c r="K675" s="263"/>
      <c r="L675" s="262"/>
      <c r="M675" s="263"/>
      <c r="N675" s="262">
        <v>0</v>
      </c>
      <c r="O675" s="263"/>
      <c r="P675" s="262">
        <v>0</v>
      </c>
      <c r="Q675" s="263"/>
      <c r="R675" s="262"/>
      <c r="S675" s="263"/>
      <c r="T675" s="262">
        <v>0</v>
      </c>
      <c r="U675" s="263"/>
      <c r="V675" s="728">
        <v>0</v>
      </c>
      <c r="W675" s="263"/>
      <c r="X675" s="262">
        <v>0</v>
      </c>
      <c r="Y675" s="263"/>
      <c r="Z675" s="262"/>
      <c r="AA675" s="263"/>
      <c r="AB675" s="262">
        <v>0</v>
      </c>
      <c r="AC675" s="263"/>
      <c r="AD675" s="262">
        <v>0</v>
      </c>
      <c r="AE675" s="263"/>
      <c r="AF675" s="262">
        <v>0</v>
      </c>
      <c r="AG675" s="263"/>
      <c r="AH675" s="262">
        <v>472213</v>
      </c>
      <c r="AI675" s="263"/>
    </row>
    <row r="676" spans="2:35">
      <c r="B676" s="364" t="s">
        <v>1177</v>
      </c>
      <c r="C676" s="263"/>
      <c r="D676" s="262">
        <f t="shared" si="28"/>
        <v>12051509</v>
      </c>
      <c r="E676" s="263"/>
      <c r="F676" s="262">
        <v>3022376</v>
      </c>
      <c r="G676" s="263"/>
      <c r="H676" s="262">
        <v>170967</v>
      </c>
      <c r="I676" s="263"/>
      <c r="J676" s="262">
        <v>201252</v>
      </c>
      <c r="K676" s="263"/>
      <c r="L676" s="262">
        <v>167710</v>
      </c>
      <c r="M676" s="263"/>
      <c r="N676" s="262">
        <v>2646282</v>
      </c>
      <c r="O676" s="263"/>
      <c r="P676" s="262">
        <v>764433</v>
      </c>
      <c r="Q676" s="263"/>
      <c r="R676" s="262">
        <v>176907</v>
      </c>
      <c r="S676" s="263"/>
      <c r="T676" s="262">
        <v>872092</v>
      </c>
      <c r="U676" s="263"/>
      <c r="V676" s="728">
        <v>650442</v>
      </c>
      <c r="W676" s="263"/>
      <c r="X676" s="262">
        <v>153058</v>
      </c>
      <c r="Y676" s="263"/>
      <c r="Z676" s="262">
        <v>344077</v>
      </c>
      <c r="AA676" s="263"/>
      <c r="AB676" s="262">
        <v>279156</v>
      </c>
      <c r="AC676" s="263"/>
      <c r="AD676" s="262">
        <v>597264</v>
      </c>
      <c r="AE676" s="263"/>
      <c r="AF676" s="262">
        <v>854573</v>
      </c>
      <c r="AG676" s="263"/>
      <c r="AH676" s="262">
        <v>1150920</v>
      </c>
      <c r="AI676" s="263"/>
    </row>
    <row r="677" spans="2:35" ht="12" thickBot="1">
      <c r="B677" s="364" t="s">
        <v>1041</v>
      </c>
      <c r="C677" s="263"/>
      <c r="D677" s="264">
        <f t="shared" si="28"/>
        <v>62773871</v>
      </c>
      <c r="E677" s="263">
        <f>SUM(D674:D677)</f>
        <v>194959334</v>
      </c>
      <c r="F677" s="264">
        <v>22856540</v>
      </c>
      <c r="G677" s="263">
        <f>SUM(F674:F677)</f>
        <v>88243740</v>
      </c>
      <c r="H677" s="264">
        <v>1257579</v>
      </c>
      <c r="I677" s="263">
        <f>SUM(H674:H677)</f>
        <v>3140921</v>
      </c>
      <c r="J677" s="264">
        <v>1438923</v>
      </c>
      <c r="K677" s="263">
        <f>SUM(J674:J677)</f>
        <v>3549863</v>
      </c>
      <c r="L677" s="264">
        <v>2107814</v>
      </c>
      <c r="M677" s="263">
        <f>SUM(L674:L677)</f>
        <v>3949584</v>
      </c>
      <c r="N677" s="264">
        <v>719264</v>
      </c>
      <c r="O677" s="263">
        <f>SUM(N674:N677)</f>
        <v>7239373</v>
      </c>
      <c r="P677" s="264">
        <v>5771542</v>
      </c>
      <c r="Q677" s="263">
        <f>SUM(P674:P677)</f>
        <v>14473330</v>
      </c>
      <c r="R677" s="264">
        <v>1316333</v>
      </c>
      <c r="S677" s="263">
        <f>SUM(R674:R677)</f>
        <v>3409985</v>
      </c>
      <c r="T677" s="264">
        <v>5996731</v>
      </c>
      <c r="U677" s="263">
        <f>SUM(T674:T677)</f>
        <v>14989680</v>
      </c>
      <c r="V677" s="264">
        <v>4754941</v>
      </c>
      <c r="W677" s="263">
        <f>SUM(V674:V677)</f>
        <v>11894286</v>
      </c>
      <c r="X677" s="264">
        <v>1034629</v>
      </c>
      <c r="Y677" s="263">
        <f>SUM(X674:X677)</f>
        <v>2543168</v>
      </c>
      <c r="Z677" s="264">
        <v>2561496</v>
      </c>
      <c r="AA677" s="263">
        <f>SUM(Z674:Z677)</f>
        <v>6345987</v>
      </c>
      <c r="AB677" s="264">
        <v>2346147</v>
      </c>
      <c r="AC677" s="263">
        <f>SUM(AB674:AB677)</f>
        <v>5462199</v>
      </c>
      <c r="AD677" s="264">
        <v>4446267</v>
      </c>
      <c r="AE677" s="263">
        <f>SUM(AD674:AD677)</f>
        <v>11102734</v>
      </c>
      <c r="AF677" s="264">
        <v>6165665</v>
      </c>
      <c r="AG677" s="263">
        <f>SUM(AF674:AF677)</f>
        <v>15502670</v>
      </c>
      <c r="AH677" s="264"/>
      <c r="AI677" s="263">
        <f>SUM(AH674:AH677)</f>
        <v>3111814</v>
      </c>
    </row>
    <row r="678" spans="2:35">
      <c r="B678" s="377"/>
      <c r="C678" s="244"/>
      <c r="D678" s="237"/>
      <c r="E678" s="243"/>
      <c r="F678" s="244"/>
      <c r="G678" s="243"/>
      <c r="H678" s="244"/>
      <c r="I678" s="243"/>
      <c r="J678" s="244"/>
      <c r="K678" s="243"/>
      <c r="L678" s="244"/>
      <c r="M678" s="243"/>
      <c r="N678" s="244"/>
      <c r="O678" s="243"/>
      <c r="P678" s="244"/>
      <c r="Q678" s="243"/>
      <c r="R678" s="244"/>
      <c r="S678" s="243"/>
      <c r="T678" s="244"/>
      <c r="U678" s="243"/>
      <c r="V678" s="341"/>
      <c r="W678" s="243"/>
      <c r="X678" s="244"/>
      <c r="Y678" s="243"/>
      <c r="Z678" s="244"/>
      <c r="AA678" s="243"/>
      <c r="AB678" s="244"/>
      <c r="AC678" s="243"/>
      <c r="AD678" s="244"/>
      <c r="AE678" s="243"/>
      <c r="AF678" s="244"/>
      <c r="AG678" s="243"/>
      <c r="AH678" s="244"/>
      <c r="AI678" s="243"/>
    </row>
    <row r="679" spans="2:35">
      <c r="B679" s="720" t="s">
        <v>990</v>
      </c>
      <c r="C679" s="244"/>
      <c r="D679" s="237"/>
      <c r="E679" s="243">
        <f>G679+I679+K679+M679+O679+Q679+S679+U679+W679+Y679+AA679+AC679+AE679+AG679+AI679</f>
        <v>0</v>
      </c>
      <c r="F679" s="244"/>
      <c r="G679" s="243"/>
      <c r="H679" s="244"/>
      <c r="I679" s="243"/>
      <c r="J679" s="244"/>
      <c r="K679" s="243"/>
      <c r="L679" s="244"/>
      <c r="M679" s="243"/>
      <c r="N679" s="244"/>
      <c r="O679" s="243"/>
      <c r="P679" s="244"/>
      <c r="Q679" s="243"/>
      <c r="R679" s="244"/>
      <c r="S679" s="243"/>
      <c r="T679" s="244"/>
      <c r="U679" s="243"/>
      <c r="V679" s="341"/>
      <c r="W679" s="243"/>
      <c r="X679" s="244"/>
      <c r="Y679" s="243"/>
      <c r="Z679" s="244"/>
      <c r="AA679" s="243"/>
      <c r="AB679" s="244"/>
      <c r="AC679" s="243"/>
      <c r="AD679" s="244"/>
      <c r="AE679" s="243"/>
      <c r="AF679" s="244"/>
      <c r="AG679" s="243"/>
      <c r="AH679" s="244"/>
      <c r="AI679" s="243"/>
    </row>
    <row r="680" spans="2:35">
      <c r="B680" s="792"/>
      <c r="C680" s="244"/>
      <c r="D680" s="237"/>
      <c r="E680" s="243"/>
      <c r="F680" s="244"/>
      <c r="G680" s="243"/>
      <c r="H680" s="244"/>
      <c r="I680" s="243"/>
      <c r="J680" s="244"/>
      <c r="K680" s="243"/>
      <c r="L680" s="244"/>
      <c r="M680" s="243"/>
      <c r="N680" s="244"/>
      <c r="O680" s="243"/>
      <c r="P680" s="244"/>
      <c r="Q680" s="243"/>
      <c r="R680" s="244"/>
      <c r="S680" s="243"/>
      <c r="T680" s="244"/>
      <c r="U680" s="243"/>
      <c r="V680" s="341"/>
      <c r="W680" s="243"/>
      <c r="X680" s="244"/>
      <c r="Y680" s="243"/>
      <c r="Z680" s="244"/>
      <c r="AA680" s="243"/>
      <c r="AB680" s="244"/>
      <c r="AC680" s="243"/>
      <c r="AD680" s="244"/>
      <c r="AE680" s="243"/>
      <c r="AF680" s="244"/>
      <c r="AG680" s="243"/>
      <c r="AH680" s="244"/>
      <c r="AI680" s="243"/>
    </row>
    <row r="681" spans="2:35">
      <c r="B681" s="720" t="s">
        <v>991</v>
      </c>
      <c r="C681" s="244"/>
      <c r="D681" s="237"/>
      <c r="E681" s="243">
        <f>G681+I681+K681+M681+O681+Q681+S681+U681+W681+Y681+AA681+AC681+AE681+AG681+AI681</f>
        <v>44589075</v>
      </c>
      <c r="F681" s="244"/>
      <c r="G681" s="244">
        <v>14337807</v>
      </c>
      <c r="H681" s="237"/>
      <c r="I681" s="243">
        <v>3707714</v>
      </c>
      <c r="J681" s="244"/>
      <c r="K681" s="243">
        <v>712746</v>
      </c>
      <c r="L681" s="244"/>
      <c r="M681" s="243">
        <v>846793</v>
      </c>
      <c r="N681" s="244"/>
      <c r="O681" s="243">
        <v>1747458</v>
      </c>
      <c r="P681" s="244"/>
      <c r="Q681" s="243">
        <v>2053324</v>
      </c>
      <c r="R681" s="244"/>
      <c r="S681" s="243">
        <v>1514478</v>
      </c>
      <c r="T681" s="244"/>
      <c r="U681" s="243">
        <v>4159623</v>
      </c>
      <c r="V681" s="341"/>
      <c r="W681" s="243">
        <v>2715794</v>
      </c>
      <c r="X681" s="244"/>
      <c r="Y681" s="243">
        <v>461288</v>
      </c>
      <c r="Z681" s="244"/>
      <c r="AA681" s="243">
        <v>824135</v>
      </c>
      <c r="AB681" s="244"/>
      <c r="AC681" s="243">
        <v>1138973</v>
      </c>
      <c r="AD681" s="244"/>
      <c r="AE681" s="243">
        <v>2682216</v>
      </c>
      <c r="AF681" s="244"/>
      <c r="AG681" s="243">
        <v>5313147</v>
      </c>
      <c r="AH681" s="244"/>
      <c r="AI681" s="243">
        <v>2373579</v>
      </c>
    </row>
    <row r="682" spans="2:35">
      <c r="B682" s="327"/>
      <c r="C682" s="244"/>
      <c r="D682" s="237"/>
      <c r="E682" s="243"/>
      <c r="F682" s="244"/>
      <c r="G682" s="243"/>
      <c r="H682" s="244"/>
      <c r="I682" s="243"/>
      <c r="J682" s="244"/>
      <c r="K682" s="243"/>
      <c r="L682" s="244"/>
      <c r="M682" s="243"/>
      <c r="N682" s="244"/>
      <c r="O682" s="243"/>
      <c r="P682" s="244"/>
      <c r="Q682" s="243"/>
      <c r="R682" s="244"/>
      <c r="S682" s="243"/>
      <c r="T682" s="244"/>
      <c r="U682" s="243"/>
      <c r="V682" s="341"/>
      <c r="W682" s="243"/>
      <c r="X682" s="244"/>
      <c r="Y682" s="243"/>
      <c r="Z682" s="244"/>
      <c r="AA682" s="243"/>
      <c r="AB682" s="244"/>
      <c r="AC682" s="243"/>
      <c r="AD682" s="244"/>
      <c r="AE682" s="243"/>
      <c r="AF682" s="244"/>
      <c r="AG682" s="243"/>
      <c r="AH682" s="244"/>
      <c r="AI682" s="243"/>
    </row>
    <row r="683" spans="2:35" ht="12" thickBot="1">
      <c r="B683" s="784" t="s">
        <v>806</v>
      </c>
      <c r="C683" s="244"/>
      <c r="D683" s="237"/>
      <c r="E683" s="246">
        <f>SUM(E663:E681)</f>
        <v>2029207221</v>
      </c>
      <c r="F683" s="244"/>
      <c r="G683" s="246">
        <f>SUM(G663:G681)</f>
        <v>700584595</v>
      </c>
      <c r="H683" s="244"/>
      <c r="I683" s="246">
        <f>SUM(I663:I681)</f>
        <v>47557914</v>
      </c>
      <c r="J683" s="244"/>
      <c r="K683" s="246">
        <f>SUM(K663:K681)</f>
        <v>34606465</v>
      </c>
      <c r="L683" s="244"/>
      <c r="M683" s="246">
        <f>SUM(M663:M681)</f>
        <v>40982639</v>
      </c>
      <c r="N683" s="244"/>
      <c r="O683" s="246">
        <f>SUM(O663:O681)</f>
        <v>90013636</v>
      </c>
      <c r="P683" s="244"/>
      <c r="Q683" s="246">
        <f>SUM(Q663:Q681)</f>
        <v>169480251</v>
      </c>
      <c r="R683" s="244"/>
      <c r="S683" s="246">
        <f>SUM(S663:S681)</f>
        <v>49632068</v>
      </c>
      <c r="T683" s="244"/>
      <c r="U683" s="246">
        <f>SUM(U663:U681)</f>
        <v>175948449</v>
      </c>
      <c r="V683" s="341"/>
      <c r="W683" s="246">
        <f>SUM(W663:W681)</f>
        <v>163350895</v>
      </c>
      <c r="X683" s="244"/>
      <c r="Y683" s="246">
        <f>SUM(Y663:Y681)</f>
        <v>26086648</v>
      </c>
      <c r="Z683" s="244"/>
      <c r="AA683" s="246">
        <f>SUM(AA663:AA681)</f>
        <v>82962316</v>
      </c>
      <c r="AB683" s="244"/>
      <c r="AC683" s="246">
        <f>SUM(AC663:AC681)</f>
        <v>60256686</v>
      </c>
      <c r="AD683" s="244"/>
      <c r="AE683" s="246">
        <f>SUM(AE663:AE681)</f>
        <v>127450885</v>
      </c>
      <c r="AF683" s="244"/>
      <c r="AG683" s="246">
        <f>SUM(AG663:AG681)</f>
        <v>193105257</v>
      </c>
      <c r="AH683" s="244"/>
      <c r="AI683" s="246">
        <f>SUM(AI663:AI681)</f>
        <v>67188517</v>
      </c>
    </row>
    <row r="684" spans="2:35" ht="12.75" thickTop="1" thickBot="1">
      <c r="B684" s="245"/>
      <c r="C684" s="248"/>
      <c r="D684" s="245"/>
      <c r="E684" s="247"/>
      <c r="F684" s="248"/>
      <c r="G684" s="247"/>
      <c r="H684" s="248"/>
      <c r="I684" s="247"/>
      <c r="J684" s="248"/>
      <c r="K684" s="247"/>
      <c r="L684" s="248"/>
      <c r="M684" s="247"/>
      <c r="N684" s="248"/>
      <c r="O684" s="247"/>
      <c r="P684" s="248"/>
      <c r="Q684" s="247"/>
      <c r="R684" s="248"/>
      <c r="S684" s="247"/>
      <c r="T684" s="248"/>
      <c r="U684" s="247"/>
      <c r="V684" s="384"/>
      <c r="W684" s="247"/>
      <c r="X684" s="248"/>
      <c r="Y684" s="247"/>
      <c r="Z684" s="248"/>
      <c r="AA684" s="247"/>
      <c r="AB684" s="248"/>
      <c r="AC684" s="247"/>
      <c r="AD684" s="248"/>
      <c r="AE684" s="247"/>
      <c r="AF684" s="248"/>
      <c r="AG684" s="247"/>
      <c r="AH684" s="248"/>
      <c r="AI684" s="247"/>
    </row>
    <row r="688" spans="2:35" ht="30" hidden="1" customHeight="1">
      <c r="B688" s="1475" t="s">
        <v>630</v>
      </c>
      <c r="C688" s="1475"/>
      <c r="D688" s="1475"/>
      <c r="E688" s="1475"/>
      <c r="F688" s="1475"/>
      <c r="G688" s="1475"/>
    </row>
    <row r="690" spans="2:35">
      <c r="B690" s="335" t="s">
        <v>557</v>
      </c>
    </row>
    <row r="691" spans="2:35" ht="12" thickBot="1">
      <c r="G691" s="335" t="s">
        <v>247</v>
      </c>
    </row>
    <row r="692" spans="2:35" ht="12" thickBot="1">
      <c r="B692" s="425"/>
      <c r="C692" s="274"/>
      <c r="D692" s="1463" t="s">
        <v>860</v>
      </c>
      <c r="E692" s="1464"/>
      <c r="F692" s="1463" t="s">
        <v>17</v>
      </c>
      <c r="G692" s="1464"/>
      <c r="H692" s="1463" t="s">
        <v>18</v>
      </c>
      <c r="I692" s="1464"/>
      <c r="J692" s="1463" t="s">
        <v>19</v>
      </c>
      <c r="K692" s="1464"/>
      <c r="L692" s="1463" t="s">
        <v>20</v>
      </c>
      <c r="M692" s="1464"/>
      <c r="N692" s="1463" t="s">
        <v>21</v>
      </c>
      <c r="O692" s="1464"/>
      <c r="P692" s="1463" t="s">
        <v>22</v>
      </c>
      <c r="Q692" s="1464"/>
      <c r="R692" s="1463" t="s">
        <v>23</v>
      </c>
      <c r="S692" s="1464"/>
      <c r="T692" s="1463" t="s">
        <v>24</v>
      </c>
      <c r="U692" s="1464"/>
      <c r="V692" s="1463" t="s">
        <v>25</v>
      </c>
      <c r="W692" s="1464"/>
      <c r="X692" s="1463" t="s">
        <v>26</v>
      </c>
      <c r="Y692" s="1464"/>
      <c r="Z692" s="1463" t="s">
        <v>27</v>
      </c>
      <c r="AA692" s="1464"/>
      <c r="AB692" s="1463" t="s">
        <v>28</v>
      </c>
      <c r="AC692" s="1464"/>
      <c r="AD692" s="1463" t="s">
        <v>29</v>
      </c>
      <c r="AE692" s="1464"/>
      <c r="AF692" s="1463" t="s">
        <v>30</v>
      </c>
      <c r="AG692" s="1464"/>
      <c r="AH692" s="1463" t="s">
        <v>31</v>
      </c>
      <c r="AI692" s="1464"/>
    </row>
    <row r="693" spans="2:35">
      <c r="B693" s="450" t="s">
        <v>260</v>
      </c>
      <c r="C693" s="251"/>
      <c r="D693" s="249"/>
      <c r="E693" s="250">
        <f>G693+I693+K693+M693+O693+Q693+S693+U693+W693+Y693+AA693+AC693+AE693+AG693+AI693</f>
        <v>1407825499</v>
      </c>
      <c r="F693" s="251"/>
      <c r="G693" s="250">
        <v>747652575</v>
      </c>
      <c r="H693" s="251"/>
      <c r="I693" s="250">
        <v>33567993</v>
      </c>
      <c r="J693" s="251"/>
      <c r="K693" s="250">
        <v>587276</v>
      </c>
      <c r="L693" s="251"/>
      <c r="M693" s="250">
        <v>68918853</v>
      </c>
      <c r="N693" s="251"/>
      <c r="O693" s="250">
        <v>25151</v>
      </c>
      <c r="P693" s="251"/>
      <c r="Q693" s="250">
        <v>79081194</v>
      </c>
      <c r="R693" s="251"/>
      <c r="S693" s="250"/>
      <c r="T693" s="251"/>
      <c r="U693" s="250">
        <v>70427173</v>
      </c>
      <c r="V693" s="427"/>
      <c r="W693" s="250">
        <v>82730778</v>
      </c>
      <c r="X693" s="251"/>
      <c r="Y693" s="250">
        <v>41599</v>
      </c>
      <c r="Z693" s="251"/>
      <c r="AA693" s="250">
        <v>718097</v>
      </c>
      <c r="AB693" s="251"/>
      <c r="AC693" s="250">
        <v>24095118</v>
      </c>
      <c r="AD693" s="251"/>
      <c r="AE693" s="250">
        <v>49786323</v>
      </c>
      <c r="AF693" s="251"/>
      <c r="AG693" s="250">
        <v>250083365</v>
      </c>
      <c r="AH693" s="251"/>
      <c r="AI693" s="250">
        <v>110004</v>
      </c>
    </row>
    <row r="694" spans="2:35">
      <c r="B694" s="720" t="s">
        <v>261</v>
      </c>
      <c r="C694" s="244"/>
      <c r="D694" s="237"/>
      <c r="E694" s="243">
        <f>G694+I694+K694+M694+O694+Q694+S694+U694+W694+Y694+AA694+AC694+AE694+AG694+AI694</f>
        <v>0</v>
      </c>
      <c r="F694" s="244"/>
      <c r="G694" s="243"/>
      <c r="H694" s="244"/>
      <c r="I694" s="243"/>
      <c r="J694" s="244"/>
      <c r="K694" s="243"/>
      <c r="L694" s="244"/>
      <c r="M694" s="243">
        <v>0</v>
      </c>
      <c r="N694" s="244"/>
      <c r="O694" s="243"/>
      <c r="P694" s="244"/>
      <c r="Q694" s="243"/>
      <c r="R694" s="244"/>
      <c r="S694" s="243"/>
      <c r="T694" s="244"/>
      <c r="U694" s="243"/>
      <c r="V694" s="341"/>
      <c r="W694" s="243"/>
      <c r="X694" s="244"/>
      <c r="Y694" s="243"/>
      <c r="Z694" s="244"/>
      <c r="AA694" s="243"/>
      <c r="AB694" s="244"/>
      <c r="AC694" s="243"/>
      <c r="AD694" s="244"/>
      <c r="AE694" s="243">
        <v>0</v>
      </c>
      <c r="AF694" s="244"/>
      <c r="AG694" s="243"/>
      <c r="AH694" s="244"/>
      <c r="AI694" s="243"/>
    </row>
    <row r="695" spans="2:35" ht="13.5" customHeight="1">
      <c r="B695" s="1438" t="s">
        <v>262</v>
      </c>
      <c r="C695" s="1439"/>
      <c r="D695" s="237"/>
      <c r="E695" s="243">
        <f>G695+I695+K695+M695+O695+Q695+S695+U695+W695+Y695+AA695+AC695+AE695+AG695+AI695</f>
        <v>368948</v>
      </c>
      <c r="F695" s="244"/>
      <c r="G695" s="243"/>
      <c r="H695" s="244"/>
      <c r="I695" s="243"/>
      <c r="J695" s="244"/>
      <c r="K695" s="243"/>
      <c r="L695" s="244"/>
      <c r="M695" s="243">
        <v>-4152436</v>
      </c>
      <c r="N695" s="244"/>
      <c r="O695" s="243"/>
      <c r="P695" s="244"/>
      <c r="Q695" s="243"/>
      <c r="R695" s="244"/>
      <c r="S695" s="243"/>
      <c r="T695" s="244"/>
      <c r="U695" s="243"/>
      <c r="V695" s="341"/>
      <c r="W695" s="243">
        <v>4521384</v>
      </c>
      <c r="X695" s="244"/>
      <c r="Y695" s="243"/>
      <c r="Z695" s="244"/>
      <c r="AA695" s="243"/>
      <c r="AB695" s="244"/>
      <c r="AC695" s="243"/>
      <c r="AD695" s="244"/>
      <c r="AE695" s="243">
        <v>0</v>
      </c>
      <c r="AF695" s="244"/>
      <c r="AG695" s="243"/>
      <c r="AH695" s="244"/>
      <c r="AI695" s="243"/>
    </row>
    <row r="696" spans="2:35">
      <c r="B696" s="327" t="s">
        <v>992</v>
      </c>
      <c r="C696" s="244"/>
      <c r="D696" s="237"/>
      <c r="E696" s="243">
        <f>G696+I696+K696+M696+O696+Q696+S696+U696+W696+Y696+AA696+AC696+AE696+AG696+AI696</f>
        <v>786461498</v>
      </c>
      <c r="F696" s="244"/>
      <c r="G696" s="243">
        <v>677810232</v>
      </c>
      <c r="H696" s="244"/>
      <c r="I696" s="243"/>
      <c r="J696" s="244"/>
      <c r="K696" s="243"/>
      <c r="L696" s="244"/>
      <c r="M696" s="243">
        <v>4227130</v>
      </c>
      <c r="N696" s="244"/>
      <c r="O696" s="243"/>
      <c r="P696" s="244"/>
      <c r="Q696" s="243">
        <v>2188263</v>
      </c>
      <c r="R696" s="244"/>
      <c r="S696" s="243"/>
      <c r="T696" s="244"/>
      <c r="U696" s="243">
        <v>99630776</v>
      </c>
      <c r="V696" s="341"/>
      <c r="W696" s="243"/>
      <c r="X696" s="244"/>
      <c r="Y696" s="243"/>
      <c r="Z696" s="244"/>
      <c r="AA696" s="243"/>
      <c r="AB696" s="244"/>
      <c r="AC696" s="243"/>
      <c r="AD696" s="244"/>
      <c r="AE696" s="243">
        <v>2605097</v>
      </c>
      <c r="AF696" s="244"/>
      <c r="AG696" s="243"/>
      <c r="AH696" s="244"/>
      <c r="AI696" s="243"/>
    </row>
    <row r="697" spans="2:35" ht="12" thickBot="1">
      <c r="B697" s="235" t="s">
        <v>806</v>
      </c>
      <c r="C697" s="248"/>
      <c r="D697" s="245"/>
      <c r="E697" s="252">
        <f>SUM(E693:E696)</f>
        <v>2194655945</v>
      </c>
      <c r="F697" s="248"/>
      <c r="G697" s="252">
        <f>SUM(G693:G696)</f>
        <v>1425462807</v>
      </c>
      <c r="H697" s="248"/>
      <c r="I697" s="252">
        <f>SUM(I693:I696)</f>
        <v>33567993</v>
      </c>
      <c r="J697" s="248"/>
      <c r="K697" s="252">
        <f>SUM(K693:K696)</f>
        <v>587276</v>
      </c>
      <c r="L697" s="248"/>
      <c r="M697" s="252">
        <f>SUM(M693:M696)</f>
        <v>68993547</v>
      </c>
      <c r="N697" s="248"/>
      <c r="O697" s="252">
        <f>SUM(O693:O696)</f>
        <v>25151</v>
      </c>
      <c r="P697" s="248"/>
      <c r="Q697" s="252">
        <f>SUM(Q693:Q696)</f>
        <v>81269457</v>
      </c>
      <c r="R697" s="248"/>
      <c r="S697" s="252">
        <f>SUM(S693:S696)</f>
        <v>0</v>
      </c>
      <c r="T697" s="248"/>
      <c r="U697" s="252">
        <f>SUM(U693:U696)</f>
        <v>170057949</v>
      </c>
      <c r="V697" s="384"/>
      <c r="W697" s="252">
        <f>SUM(W693:W696)</f>
        <v>87252162</v>
      </c>
      <c r="X697" s="248"/>
      <c r="Y697" s="252">
        <f>SUM(Y693:Y696)</f>
        <v>41599</v>
      </c>
      <c r="Z697" s="248"/>
      <c r="AA697" s="252">
        <f>SUM(AA693:AA696)</f>
        <v>718097</v>
      </c>
      <c r="AB697" s="248"/>
      <c r="AC697" s="252">
        <f>SUM(AC693:AC696)</f>
        <v>24095118</v>
      </c>
      <c r="AD697" s="248"/>
      <c r="AE697" s="252">
        <f>SUM(AE693:AE696)</f>
        <v>52391420</v>
      </c>
      <c r="AF697" s="248"/>
      <c r="AG697" s="252">
        <f>SUM(AG693:AG696)</f>
        <v>250083365</v>
      </c>
      <c r="AH697" s="248"/>
      <c r="AI697" s="252">
        <f>SUM(AI693:AI696)</f>
        <v>110004</v>
      </c>
    </row>
    <row r="699" spans="2:35" hidden="1">
      <c r="B699" s="404" t="s">
        <v>263</v>
      </c>
      <c r="C699" s="404"/>
      <c r="D699" s="404"/>
      <c r="E699" s="404"/>
      <c r="F699" s="404"/>
      <c r="G699" s="404"/>
    </row>
    <row r="700" spans="2:35" hidden="1"/>
    <row r="701" spans="2:35" hidden="1">
      <c r="B701" s="404" t="s">
        <v>264</v>
      </c>
      <c r="C701" s="404"/>
      <c r="D701" s="404"/>
      <c r="E701" s="404"/>
      <c r="F701" s="404"/>
      <c r="G701" s="404"/>
    </row>
    <row r="702" spans="2:35" hidden="1"/>
    <row r="703" spans="2:35" ht="38.25" hidden="1" customHeight="1">
      <c r="B703" s="1475" t="s">
        <v>934</v>
      </c>
      <c r="C703" s="1475"/>
      <c r="D703" s="1475"/>
      <c r="E703" s="1475"/>
      <c r="F703" s="1475"/>
      <c r="G703" s="1475"/>
    </row>
    <row r="705" spans="2:35">
      <c r="B705" s="318" t="s">
        <v>558</v>
      </c>
    </row>
    <row r="706" spans="2:35" ht="12" thickBot="1">
      <c r="G706" s="335" t="s">
        <v>247</v>
      </c>
    </row>
    <row r="707" spans="2:35" ht="12" thickBot="1">
      <c r="B707" s="425"/>
      <c r="C707" s="274"/>
      <c r="D707" s="1463" t="s">
        <v>860</v>
      </c>
      <c r="E707" s="1464"/>
      <c r="F707" s="1463" t="s">
        <v>17</v>
      </c>
      <c r="G707" s="1464"/>
      <c r="H707" s="1463" t="s">
        <v>18</v>
      </c>
      <c r="I707" s="1464"/>
      <c r="J707" s="1473" t="s">
        <v>19</v>
      </c>
      <c r="K707" s="1474"/>
      <c r="L707" s="1463" t="s">
        <v>20</v>
      </c>
      <c r="M707" s="1464"/>
      <c r="N707" s="1463" t="s">
        <v>21</v>
      </c>
      <c r="O707" s="1464"/>
      <c r="P707" s="1463" t="s">
        <v>22</v>
      </c>
      <c r="Q707" s="1464"/>
      <c r="R707" s="1463" t="s">
        <v>23</v>
      </c>
      <c r="S707" s="1464"/>
      <c r="T707" s="1463" t="s">
        <v>24</v>
      </c>
      <c r="U707" s="1464"/>
      <c r="V707" s="1463" t="s">
        <v>25</v>
      </c>
      <c r="W707" s="1464"/>
      <c r="X707" s="1463" t="s">
        <v>26</v>
      </c>
      <c r="Y707" s="1464"/>
      <c r="Z707" s="1463" t="s">
        <v>27</v>
      </c>
      <c r="AA707" s="1464"/>
      <c r="AB707" s="1463" t="s">
        <v>28</v>
      </c>
      <c r="AC707" s="1464"/>
      <c r="AD707" s="1463" t="s">
        <v>29</v>
      </c>
      <c r="AE707" s="1464"/>
      <c r="AF707" s="1463" t="s">
        <v>30</v>
      </c>
      <c r="AG707" s="1464"/>
      <c r="AH707" s="1463" t="s">
        <v>31</v>
      </c>
      <c r="AI707" s="1464"/>
    </row>
    <row r="708" spans="2:35">
      <c r="B708" s="445" t="s">
        <v>266</v>
      </c>
      <c r="C708" s="251"/>
      <c r="D708" s="249"/>
      <c r="E708" s="250"/>
      <c r="F708" s="251"/>
      <c r="G708" s="250"/>
      <c r="H708" s="251"/>
      <c r="I708" s="251"/>
      <c r="J708" s="249"/>
      <c r="K708" s="250"/>
      <c r="L708" s="251"/>
      <c r="M708" s="250"/>
      <c r="N708" s="251"/>
      <c r="O708" s="250"/>
      <c r="P708" s="251"/>
      <c r="Q708" s="250"/>
      <c r="R708" s="251"/>
      <c r="S708" s="250"/>
      <c r="T708" s="251"/>
      <c r="U708" s="250"/>
      <c r="V708" s="427"/>
      <c r="W708" s="250"/>
      <c r="X708" s="251"/>
      <c r="Y708" s="250"/>
      <c r="Z708" s="251"/>
      <c r="AA708" s="250"/>
      <c r="AB708" s="251"/>
      <c r="AC708" s="250"/>
      <c r="AD708" s="251"/>
      <c r="AE708" s="250"/>
      <c r="AF708" s="251"/>
      <c r="AG708" s="250"/>
      <c r="AH708" s="251"/>
      <c r="AI708" s="250"/>
    </row>
    <row r="709" spans="2:35">
      <c r="B709" s="364" t="s">
        <v>267</v>
      </c>
      <c r="C709" s="244"/>
      <c r="D709" s="237">
        <f t="shared" ref="D709:D719" si="29">F709+H709+J709+L709+N709+P709+R709+T709+V709+X709+Z709+AB709+AD709+AF709+AH709</f>
        <v>5415863820</v>
      </c>
      <c r="E709" s="243"/>
      <c r="F709" s="244"/>
      <c r="G709" s="243"/>
      <c r="H709" s="244"/>
      <c r="I709" s="244"/>
      <c r="J709" s="237">
        <v>1981008922</v>
      </c>
      <c r="K709" s="243"/>
      <c r="L709" s="244">
        <v>8382</v>
      </c>
      <c r="M709" s="243"/>
      <c r="N709" s="244"/>
      <c r="O709" s="243"/>
      <c r="P709" s="244">
        <v>846739474</v>
      </c>
      <c r="Q709" s="243"/>
      <c r="R709" s="244"/>
      <c r="S709" s="243"/>
      <c r="T709" s="244">
        <v>2286593200</v>
      </c>
      <c r="U709" s="243"/>
      <c r="V709" s="341">
        <v>301513842</v>
      </c>
      <c r="W709" s="243"/>
      <c r="X709" s="244"/>
      <c r="Y709" s="243"/>
      <c r="Z709" s="244"/>
      <c r="AA709" s="243"/>
      <c r="AB709" s="244"/>
      <c r="AC709" s="243"/>
      <c r="AD709" s="244"/>
      <c r="AE709" s="243"/>
      <c r="AF709" s="244">
        <v>0</v>
      </c>
      <c r="AG709" s="243"/>
      <c r="AH709" s="244"/>
      <c r="AI709" s="243"/>
    </row>
    <row r="710" spans="2:35">
      <c r="B710" s="364" t="s">
        <v>268</v>
      </c>
      <c r="C710" s="244"/>
      <c r="D710" s="237">
        <f t="shared" si="29"/>
        <v>1778143</v>
      </c>
      <c r="E710" s="243"/>
      <c r="F710" s="244"/>
      <c r="G710" s="243"/>
      <c r="H710" s="244"/>
      <c r="I710" s="244"/>
      <c r="J710" s="237"/>
      <c r="K710" s="243"/>
      <c r="L710" s="244">
        <v>1776703</v>
      </c>
      <c r="M710" s="243"/>
      <c r="N710" s="244"/>
      <c r="O710" s="243"/>
      <c r="P710" s="244"/>
      <c r="Q710" s="243"/>
      <c r="R710" s="244"/>
      <c r="S710" s="243"/>
      <c r="T710" s="244"/>
      <c r="U710" s="243"/>
      <c r="V710" s="341">
        <v>1440</v>
      </c>
      <c r="W710" s="243"/>
      <c r="X710" s="244"/>
      <c r="Y710" s="243"/>
      <c r="Z710" s="244"/>
      <c r="AA710" s="243"/>
      <c r="AB710" s="244"/>
      <c r="AC710" s="243"/>
      <c r="AD710" s="244"/>
      <c r="AE710" s="243"/>
      <c r="AF710" s="244">
        <v>0</v>
      </c>
      <c r="AG710" s="243"/>
      <c r="AH710" s="244"/>
      <c r="AI710" s="243"/>
    </row>
    <row r="711" spans="2:35" ht="21">
      <c r="B711" s="364" t="s">
        <v>269</v>
      </c>
      <c r="C711" s="244"/>
      <c r="D711" s="237">
        <f t="shared" si="29"/>
        <v>2052964294</v>
      </c>
      <c r="E711" s="243"/>
      <c r="F711" s="244">
        <v>-2899598</v>
      </c>
      <c r="G711" s="243"/>
      <c r="H711" s="244">
        <v>14259188</v>
      </c>
      <c r="I711" s="244"/>
      <c r="J711" s="237">
        <v>538702628</v>
      </c>
      <c r="K711" s="243"/>
      <c r="L711" s="244">
        <v>41557592</v>
      </c>
      <c r="M711" s="243"/>
      <c r="N711" s="244">
        <v>226270</v>
      </c>
      <c r="O711" s="243"/>
      <c r="P711" s="244">
        <v>450455940</v>
      </c>
      <c r="Q711" s="243"/>
      <c r="R711" s="244">
        <v>6337595</v>
      </c>
      <c r="S711" s="243"/>
      <c r="T711" s="244">
        <v>754810698</v>
      </c>
      <c r="U711" s="243"/>
      <c r="V711" s="341">
        <v>169201095</v>
      </c>
      <c r="W711" s="243"/>
      <c r="X711" s="244">
        <v>750822</v>
      </c>
      <c r="Y711" s="243"/>
      <c r="Z711" s="244">
        <v>19028974</v>
      </c>
      <c r="AA711" s="243"/>
      <c r="AB711" s="244">
        <v>18887378</v>
      </c>
      <c r="AC711" s="243"/>
      <c r="AD711" s="244">
        <v>26976633</v>
      </c>
      <c r="AE711" s="243"/>
      <c r="AF711" s="244">
        <v>14669079</v>
      </c>
      <c r="AG711" s="243"/>
      <c r="AH711" s="244"/>
      <c r="AI711" s="243"/>
    </row>
    <row r="712" spans="2:35">
      <c r="B712" s="364" t="s">
        <v>270</v>
      </c>
      <c r="C712" s="244"/>
      <c r="D712" s="237">
        <f t="shared" si="29"/>
        <v>11681430</v>
      </c>
      <c r="E712" s="243"/>
      <c r="F712" s="244"/>
      <c r="G712" s="243"/>
      <c r="H712" s="244">
        <v>697677</v>
      </c>
      <c r="I712" s="244"/>
      <c r="J712" s="237">
        <v>962798</v>
      </c>
      <c r="K712" s="243"/>
      <c r="L712" s="244">
        <v>3178273</v>
      </c>
      <c r="M712" s="243"/>
      <c r="N712" s="244"/>
      <c r="O712" s="243"/>
      <c r="P712" s="244">
        <v>4038487</v>
      </c>
      <c r="Q712" s="243"/>
      <c r="R712" s="244">
        <v>312728</v>
      </c>
      <c r="S712" s="243"/>
      <c r="T712" s="244">
        <v>1018789</v>
      </c>
      <c r="U712" s="243"/>
      <c r="V712" s="341">
        <v>10575</v>
      </c>
      <c r="W712" s="243"/>
      <c r="X712" s="244">
        <v>160356</v>
      </c>
      <c r="Y712" s="243"/>
      <c r="Z712" s="244">
        <v>240762</v>
      </c>
      <c r="AA712" s="243"/>
      <c r="AB712" s="244">
        <v>0</v>
      </c>
      <c r="AC712" s="243"/>
      <c r="AD712" s="244">
        <v>-152650</v>
      </c>
      <c r="AE712" s="243"/>
      <c r="AF712" s="244">
        <v>1213635</v>
      </c>
      <c r="AG712" s="243"/>
      <c r="AH712" s="244"/>
      <c r="AI712" s="243"/>
    </row>
    <row r="713" spans="2:35">
      <c r="B713" s="364" t="s">
        <v>387</v>
      </c>
      <c r="C713" s="244"/>
      <c r="D713" s="237">
        <f t="shared" si="29"/>
        <v>-192644265</v>
      </c>
      <c r="E713" s="243"/>
      <c r="F713" s="244"/>
      <c r="G713" s="243"/>
      <c r="H713" s="244">
        <v>-3348817</v>
      </c>
      <c r="I713" s="244"/>
      <c r="J713" s="237">
        <v>72734356</v>
      </c>
      <c r="K713" s="243"/>
      <c r="L713" s="244">
        <v>-4096651</v>
      </c>
      <c r="M713" s="243"/>
      <c r="N713" s="244"/>
      <c r="O713" s="243"/>
      <c r="P713" s="244">
        <v>-7249528</v>
      </c>
      <c r="Q713" s="243"/>
      <c r="R713" s="244"/>
      <c r="S713" s="243"/>
      <c r="T713" s="244">
        <v>-239209298</v>
      </c>
      <c r="U713" s="243"/>
      <c r="V713" s="341">
        <v>-7215980</v>
      </c>
      <c r="W713" s="243"/>
      <c r="X713" s="244">
        <v>0</v>
      </c>
      <c r="Y713" s="243"/>
      <c r="Z713" s="244">
        <v>-1245443</v>
      </c>
      <c r="AA713" s="243"/>
      <c r="AB713" s="244">
        <v>465173</v>
      </c>
      <c r="AC713" s="243"/>
      <c r="AD713" s="244">
        <v>-243098</v>
      </c>
      <c r="AE713" s="243"/>
      <c r="AF713" s="244">
        <v>-3234979</v>
      </c>
      <c r="AG713" s="243"/>
      <c r="AH713" s="244"/>
      <c r="AI713" s="243"/>
    </row>
    <row r="714" spans="2:35">
      <c r="B714" s="364" t="s">
        <v>271</v>
      </c>
      <c r="C714" s="244"/>
      <c r="D714" s="237">
        <f t="shared" si="29"/>
        <v>7351546395</v>
      </c>
      <c r="E714" s="243"/>
      <c r="F714" s="244"/>
      <c r="G714" s="243"/>
      <c r="H714" s="244">
        <v>319229484</v>
      </c>
      <c r="I714" s="244"/>
      <c r="J714" s="237">
        <v>376197726</v>
      </c>
      <c r="K714" s="243"/>
      <c r="L714" s="244">
        <v>938748975</v>
      </c>
      <c r="M714" s="243"/>
      <c r="N714" s="244"/>
      <c r="O714" s="243"/>
      <c r="P714" s="244">
        <v>303699416</v>
      </c>
      <c r="Q714" s="243"/>
      <c r="R714" s="244">
        <v>32232218</v>
      </c>
      <c r="S714" s="243"/>
      <c r="T714" s="244">
        <v>1446857799</v>
      </c>
      <c r="U714" s="243"/>
      <c r="V714" s="341">
        <v>805608198</v>
      </c>
      <c r="W714" s="243"/>
      <c r="X714" s="244">
        <v>2184814</v>
      </c>
      <c r="Y714" s="243"/>
      <c r="Z714" s="244">
        <v>1526403243</v>
      </c>
      <c r="AA714" s="243"/>
      <c r="AB714" s="244">
        <v>0</v>
      </c>
      <c r="AC714" s="243"/>
      <c r="AD714" s="244">
        <v>763234483</v>
      </c>
      <c r="AE714" s="243"/>
      <c r="AF714" s="244">
        <v>837150039</v>
      </c>
      <c r="AG714" s="243"/>
      <c r="AH714" s="244"/>
      <c r="AI714" s="243"/>
    </row>
    <row r="715" spans="2:35">
      <c r="B715" s="364" t="s">
        <v>272</v>
      </c>
      <c r="C715" s="244"/>
      <c r="D715" s="237">
        <f t="shared" si="29"/>
        <v>23941926</v>
      </c>
      <c r="E715" s="243"/>
      <c r="F715" s="244">
        <v>21904</v>
      </c>
      <c r="G715" s="243"/>
      <c r="H715" s="244">
        <v>52849</v>
      </c>
      <c r="I715" s="244"/>
      <c r="J715" s="237">
        <v>3252105</v>
      </c>
      <c r="K715" s="243"/>
      <c r="L715" s="244">
        <v>784053</v>
      </c>
      <c r="M715" s="243"/>
      <c r="N715" s="244">
        <v>32210</v>
      </c>
      <c r="O715" s="243"/>
      <c r="P715" s="244">
        <v>2185474</v>
      </c>
      <c r="Q715" s="243"/>
      <c r="R715" s="244">
        <v>18256</v>
      </c>
      <c r="S715" s="243"/>
      <c r="T715" s="244">
        <v>14351503</v>
      </c>
      <c r="U715" s="243"/>
      <c r="V715" s="341">
        <v>2584394</v>
      </c>
      <c r="W715" s="243"/>
      <c r="X715" s="244">
        <v>5033</v>
      </c>
      <c r="Y715" s="243"/>
      <c r="Z715" s="244">
        <v>58981</v>
      </c>
      <c r="AA715" s="243"/>
      <c r="AB715" s="244">
        <v>46427</v>
      </c>
      <c r="AC715" s="243"/>
      <c r="AD715" s="244">
        <v>528444</v>
      </c>
      <c r="AE715" s="243"/>
      <c r="AF715" s="244">
        <v>20293</v>
      </c>
      <c r="AG715" s="243"/>
      <c r="AH715" s="244"/>
      <c r="AI715" s="243"/>
    </row>
    <row r="716" spans="2:35">
      <c r="B716" s="364" t="s">
        <v>273</v>
      </c>
      <c r="C716" s="244"/>
      <c r="D716" s="237">
        <f t="shared" si="29"/>
        <v>14002609</v>
      </c>
      <c r="E716" s="243"/>
      <c r="F716" s="244"/>
      <c r="G716" s="243"/>
      <c r="H716" s="244">
        <v>998246</v>
      </c>
      <c r="I716" s="244"/>
      <c r="J716" s="237">
        <v>5883171</v>
      </c>
      <c r="K716" s="243"/>
      <c r="L716" s="244">
        <v>1576747</v>
      </c>
      <c r="M716" s="243"/>
      <c r="N716" s="244">
        <v>92347</v>
      </c>
      <c r="O716" s="243"/>
      <c r="P716" s="244">
        <v>1365209</v>
      </c>
      <c r="Q716" s="243"/>
      <c r="R716" s="244">
        <v>105833</v>
      </c>
      <c r="S716" s="243"/>
      <c r="T716" s="244">
        <v>35353</v>
      </c>
      <c r="U716" s="243"/>
      <c r="V716" s="341">
        <v>120860</v>
      </c>
      <c r="W716" s="243"/>
      <c r="X716" s="244">
        <v>136079</v>
      </c>
      <c r="Y716" s="243"/>
      <c r="Z716" s="244">
        <v>502618</v>
      </c>
      <c r="AA716" s="243"/>
      <c r="AB716" s="244">
        <v>54894</v>
      </c>
      <c r="AC716" s="243"/>
      <c r="AD716" s="244">
        <v>2705192</v>
      </c>
      <c r="AE716" s="243"/>
      <c r="AF716" s="244">
        <v>426060</v>
      </c>
      <c r="AG716" s="243"/>
      <c r="AH716" s="244"/>
      <c r="AI716" s="243"/>
    </row>
    <row r="717" spans="2:35">
      <c r="B717" s="364" t="s">
        <v>274</v>
      </c>
      <c r="C717" s="244"/>
      <c r="D717" s="237">
        <f t="shared" si="29"/>
        <v>4202117</v>
      </c>
      <c r="E717" s="243"/>
      <c r="F717" s="244"/>
      <c r="G717" s="243"/>
      <c r="H717" s="244">
        <v>195374</v>
      </c>
      <c r="I717" s="244"/>
      <c r="J717" s="237">
        <v>157980</v>
      </c>
      <c r="K717" s="243"/>
      <c r="L717" s="244">
        <v>1533981</v>
      </c>
      <c r="M717" s="243"/>
      <c r="N717" s="244"/>
      <c r="O717" s="243"/>
      <c r="P717" s="244">
        <v>-9955</v>
      </c>
      <c r="Q717" s="243"/>
      <c r="R717" s="244">
        <v>550102</v>
      </c>
      <c r="S717" s="243"/>
      <c r="T717" s="244">
        <v>942999</v>
      </c>
      <c r="U717" s="243"/>
      <c r="V717" s="341">
        <v>556485</v>
      </c>
      <c r="W717" s="243"/>
      <c r="X717" s="244">
        <v>13064</v>
      </c>
      <c r="Y717" s="243"/>
      <c r="Z717" s="244">
        <v>5000</v>
      </c>
      <c r="AA717" s="243"/>
      <c r="AB717" s="244"/>
      <c r="AC717" s="243"/>
      <c r="AD717" s="244">
        <v>0</v>
      </c>
      <c r="AE717" s="243"/>
      <c r="AF717" s="244">
        <v>257087</v>
      </c>
      <c r="AG717" s="243"/>
      <c r="AH717" s="244"/>
      <c r="AI717" s="243"/>
    </row>
    <row r="718" spans="2:35">
      <c r="B718" s="364" t="s">
        <v>600</v>
      </c>
      <c r="C718" s="244"/>
      <c r="D718" s="237">
        <f t="shared" si="29"/>
        <v>446676768</v>
      </c>
      <c r="E718" s="243"/>
      <c r="F718" s="244"/>
      <c r="G718" s="243"/>
      <c r="H718" s="244"/>
      <c r="I718" s="244"/>
      <c r="J718" s="237">
        <v>50927309</v>
      </c>
      <c r="K718" s="243"/>
      <c r="L718" s="244">
        <v>388865891</v>
      </c>
      <c r="M718" s="243"/>
      <c r="N718" s="244"/>
      <c r="O718" s="243"/>
      <c r="P718" s="244"/>
      <c r="Q718" s="243"/>
      <c r="R718" s="244"/>
      <c r="S718" s="243"/>
      <c r="T718" s="244"/>
      <c r="U718" s="243"/>
      <c r="V718" s="341"/>
      <c r="W718" s="243"/>
      <c r="X718" s="244"/>
      <c r="Y718" s="243"/>
      <c r="Z718" s="244"/>
      <c r="AA718" s="243"/>
      <c r="AB718" s="244"/>
      <c r="AC718" s="243"/>
      <c r="AD718" s="244">
        <v>6883568</v>
      </c>
      <c r="AE718" s="243"/>
      <c r="AF718" s="244"/>
      <c r="AG718" s="243"/>
      <c r="AH718" s="244"/>
      <c r="AI718" s="243"/>
    </row>
    <row r="719" spans="2:35" ht="21.75" thickBot="1">
      <c r="B719" s="364" t="s">
        <v>275</v>
      </c>
      <c r="C719" s="244"/>
      <c r="D719" s="245">
        <f t="shared" si="29"/>
        <v>1382230</v>
      </c>
      <c r="E719" s="243">
        <f>+SUM(D709:D719)</f>
        <v>15131395467</v>
      </c>
      <c r="F719" s="245"/>
      <c r="G719" s="243">
        <f>+SUM(F709:F719)</f>
        <v>-2877694</v>
      </c>
      <c r="H719" s="245"/>
      <c r="I719" s="243">
        <f t="shared" ref="I719" si="30">+SUM(H709:H719)</f>
        <v>332084001</v>
      </c>
      <c r="J719" s="245"/>
      <c r="K719" s="243">
        <f t="shared" ref="K719" si="31">+SUM(J709:J719)</f>
        <v>3029826995</v>
      </c>
      <c r="L719" s="245"/>
      <c r="M719" s="243">
        <f t="shared" ref="M719" si="32">+SUM(L709:L719)</f>
        <v>1373933946</v>
      </c>
      <c r="N719" s="245"/>
      <c r="O719" s="243">
        <f t="shared" ref="O719" si="33">+SUM(N709:N719)</f>
        <v>350827</v>
      </c>
      <c r="P719" s="245"/>
      <c r="Q719" s="243">
        <f t="shared" ref="Q719" si="34">+SUM(P709:P719)</f>
        <v>1601224517</v>
      </c>
      <c r="R719" s="245"/>
      <c r="S719" s="243">
        <f t="shared" ref="S719" si="35">+SUM(R709:R719)</f>
        <v>39556732</v>
      </c>
      <c r="T719" s="245"/>
      <c r="U719" s="243">
        <f t="shared" ref="U719" si="36">+SUM(T709:T719)</f>
        <v>4265401043</v>
      </c>
      <c r="V719" s="245"/>
      <c r="W719" s="243">
        <f t="shared" ref="W719" si="37">+SUM(V709:V719)</f>
        <v>1272380909</v>
      </c>
      <c r="X719" s="245"/>
      <c r="Y719" s="243">
        <f t="shared" ref="Y719" si="38">+SUM(X709:X719)</f>
        <v>3250168</v>
      </c>
      <c r="Z719" s="245">
        <v>1382230</v>
      </c>
      <c r="AA719" s="243">
        <f t="shared" ref="AA719" si="39">+SUM(Z709:Z719)</f>
        <v>1546376365</v>
      </c>
      <c r="AB719" s="245"/>
      <c r="AC719" s="243">
        <f t="shared" ref="AC719" si="40">+SUM(AB709:AB719)</f>
        <v>19453872</v>
      </c>
      <c r="AD719" s="245"/>
      <c r="AE719" s="243">
        <f t="shared" ref="AE719" si="41">+SUM(AD709:AD719)</f>
        <v>799932572</v>
      </c>
      <c r="AF719" s="245">
        <v>0</v>
      </c>
      <c r="AG719" s="243">
        <f t="shared" ref="AG719" si="42">+SUM(AF709:AF719)</f>
        <v>850501214</v>
      </c>
      <c r="AH719" s="245"/>
      <c r="AI719" s="243">
        <f t="shared" ref="AI719" si="43">+SUM(AH709:AH719)</f>
        <v>0</v>
      </c>
    </row>
    <row r="720" spans="2:35">
      <c r="B720" s="720"/>
      <c r="C720" s="244"/>
      <c r="D720" s="237"/>
      <c r="E720" s="243"/>
      <c r="F720" s="237"/>
      <c r="G720" s="243"/>
      <c r="H720" s="237"/>
      <c r="I720" s="244"/>
      <c r="J720" s="237"/>
      <c r="K720" s="243"/>
      <c r="L720" s="244"/>
      <c r="M720" s="243"/>
      <c r="N720" s="237"/>
      <c r="O720" s="243"/>
      <c r="P720" s="237"/>
      <c r="Q720" s="243"/>
      <c r="R720" s="237"/>
      <c r="S720" s="243"/>
      <c r="T720" s="237"/>
      <c r="U720" s="243"/>
      <c r="V720" s="348"/>
      <c r="W720" s="243"/>
      <c r="X720" s="237"/>
      <c r="Y720" s="243"/>
      <c r="Z720" s="237"/>
      <c r="AA720" s="243"/>
      <c r="AB720" s="237"/>
      <c r="AC720" s="243"/>
      <c r="AD720" s="237"/>
      <c r="AE720" s="243"/>
      <c r="AF720" s="237"/>
      <c r="AG720" s="243"/>
      <c r="AH720" s="237"/>
      <c r="AI720" s="243"/>
    </row>
    <row r="721" spans="2:35">
      <c r="B721" s="347" t="s">
        <v>276</v>
      </c>
      <c r="C721" s="244"/>
      <c r="D721" s="237"/>
      <c r="E721" s="243"/>
      <c r="F721" s="237"/>
      <c r="G721" s="243"/>
      <c r="H721" s="237"/>
      <c r="I721" s="244"/>
      <c r="J721" s="237"/>
      <c r="K721" s="243"/>
      <c r="L721" s="244"/>
      <c r="M721" s="243"/>
      <c r="N721" s="237"/>
      <c r="O721" s="243"/>
      <c r="P721" s="237"/>
      <c r="Q721" s="243"/>
      <c r="R721" s="237"/>
      <c r="S721" s="243"/>
      <c r="T721" s="237"/>
      <c r="U721" s="243"/>
      <c r="V721" s="348"/>
      <c r="W721" s="243"/>
      <c r="X721" s="237"/>
      <c r="Y721" s="243"/>
      <c r="Z721" s="237"/>
      <c r="AA721" s="243"/>
      <c r="AB721" s="237"/>
      <c r="AC721" s="243"/>
      <c r="AD721" s="237"/>
      <c r="AE721" s="243"/>
      <c r="AF721" s="237"/>
      <c r="AG721" s="243"/>
      <c r="AH721" s="237"/>
      <c r="AI721" s="243"/>
    </row>
    <row r="722" spans="2:35">
      <c r="B722" s="364" t="s">
        <v>277</v>
      </c>
      <c r="C722" s="244"/>
      <c r="D722" s="237">
        <f>F722+H722+J722+L722+N722+P722+R722+T722+V722+X722+Z722+AB722+AD722+AF722+AH722</f>
        <v>0</v>
      </c>
      <c r="E722" s="243"/>
      <c r="F722" s="237"/>
      <c r="G722" s="243"/>
      <c r="H722" s="237"/>
      <c r="I722" s="244"/>
      <c r="J722" s="237"/>
      <c r="K722" s="243"/>
      <c r="L722" s="244"/>
      <c r="M722" s="243"/>
      <c r="N722" s="237"/>
      <c r="O722" s="243"/>
      <c r="P722" s="237"/>
      <c r="Q722" s="243"/>
      <c r="R722" s="237"/>
      <c r="S722" s="243"/>
      <c r="T722" s="237"/>
      <c r="U722" s="243"/>
      <c r="V722" s="348"/>
      <c r="W722" s="243"/>
      <c r="X722" s="237"/>
      <c r="Y722" s="243"/>
      <c r="Z722" s="237"/>
      <c r="AA722" s="243"/>
      <c r="AB722" s="237"/>
      <c r="AC722" s="243"/>
      <c r="AD722" s="237"/>
      <c r="AE722" s="243"/>
      <c r="AF722" s="237">
        <v>0</v>
      </c>
      <c r="AG722" s="243"/>
      <c r="AH722" s="237"/>
      <c r="AI722" s="243"/>
    </row>
    <row r="723" spans="2:35">
      <c r="B723" s="364" t="s">
        <v>278</v>
      </c>
      <c r="C723" s="244"/>
      <c r="D723" s="237">
        <f t="shared" ref="D723:D755" si="44">F723+H723+J723+L723+N723+P723+R723+T723+V723+X723+Z723+AB723+AD723+AF723+AH723</f>
        <v>1238040</v>
      </c>
      <c r="E723" s="243"/>
      <c r="F723" s="237"/>
      <c r="G723" s="243"/>
      <c r="H723" s="237"/>
      <c r="I723" s="244"/>
      <c r="J723" s="237"/>
      <c r="K723" s="243"/>
      <c r="L723" s="244"/>
      <c r="M723" s="243"/>
      <c r="N723" s="237"/>
      <c r="O723" s="243"/>
      <c r="P723" s="237"/>
      <c r="Q723" s="243"/>
      <c r="R723" s="237"/>
      <c r="S723" s="243"/>
      <c r="T723" s="237"/>
      <c r="U723" s="243"/>
      <c r="V723" s="348"/>
      <c r="W723" s="243"/>
      <c r="X723" s="237"/>
      <c r="Y723" s="243"/>
      <c r="Z723" s="237"/>
      <c r="AA723" s="243"/>
      <c r="AB723" s="237"/>
      <c r="AC723" s="243"/>
      <c r="AD723" s="237"/>
      <c r="AE723" s="243"/>
      <c r="AF723" s="237">
        <v>0</v>
      </c>
      <c r="AG723" s="243"/>
      <c r="AH723" s="237">
        <v>1238040</v>
      </c>
      <c r="AI723" s="243"/>
    </row>
    <row r="724" spans="2:35">
      <c r="B724" s="364" t="s">
        <v>279</v>
      </c>
      <c r="C724" s="244"/>
      <c r="D724" s="237">
        <f t="shared" si="44"/>
        <v>27502395</v>
      </c>
      <c r="E724" s="243"/>
      <c r="F724" s="237">
        <v>4734975</v>
      </c>
      <c r="G724" s="243"/>
      <c r="H724" s="237">
        <v>2009316</v>
      </c>
      <c r="I724" s="244"/>
      <c r="J724" s="237">
        <v>1270883</v>
      </c>
      <c r="K724" s="243"/>
      <c r="L724" s="244">
        <v>2056270</v>
      </c>
      <c r="M724" s="243"/>
      <c r="N724" s="237">
        <v>999622</v>
      </c>
      <c r="O724" s="243"/>
      <c r="P724" s="237">
        <v>896518</v>
      </c>
      <c r="Q724" s="243"/>
      <c r="R724" s="237">
        <v>457750</v>
      </c>
      <c r="S724" s="243"/>
      <c r="T724" s="237">
        <v>563052</v>
      </c>
      <c r="U724" s="243"/>
      <c r="V724" s="348">
        <v>3138308</v>
      </c>
      <c r="W724" s="243"/>
      <c r="X724" s="237">
        <v>1096408</v>
      </c>
      <c r="Y724" s="243"/>
      <c r="Z724" s="237">
        <v>2603603</v>
      </c>
      <c r="AA724" s="243"/>
      <c r="AB724" s="237">
        <v>887840</v>
      </c>
      <c r="AC724" s="243"/>
      <c r="AD724" s="237">
        <v>1275248</v>
      </c>
      <c r="AE724" s="243"/>
      <c r="AF724" s="237">
        <v>5512602</v>
      </c>
      <c r="AG724" s="243"/>
      <c r="AH724" s="237"/>
      <c r="AI724" s="243"/>
    </row>
    <row r="725" spans="2:35">
      <c r="B725" s="364" t="s">
        <v>993</v>
      </c>
      <c r="C725" s="244"/>
      <c r="D725" s="237">
        <f t="shared" si="44"/>
        <v>16816232</v>
      </c>
      <c r="E725" s="243"/>
      <c r="F725" s="237">
        <v>6950381</v>
      </c>
      <c r="G725" s="243"/>
      <c r="H725" s="237">
        <v>18933</v>
      </c>
      <c r="I725" s="244"/>
      <c r="J725" s="237">
        <v>251127</v>
      </c>
      <c r="K725" s="243"/>
      <c r="L725" s="244">
        <v>0</v>
      </c>
      <c r="M725" s="243"/>
      <c r="N725" s="237">
        <v>71385</v>
      </c>
      <c r="O725" s="243"/>
      <c r="P725" s="237">
        <v>7954131</v>
      </c>
      <c r="Q725" s="243"/>
      <c r="R725" s="237">
        <v>23070</v>
      </c>
      <c r="S725" s="243"/>
      <c r="T725" s="237">
        <v>407880</v>
      </c>
      <c r="U725" s="243"/>
      <c r="V725" s="348">
        <v>91158</v>
      </c>
      <c r="W725" s="243"/>
      <c r="X725" s="237">
        <v>7116</v>
      </c>
      <c r="Y725" s="243"/>
      <c r="Z725" s="237">
        <v>597778</v>
      </c>
      <c r="AA725" s="243"/>
      <c r="AB725" s="237">
        <v>800</v>
      </c>
      <c r="AC725" s="243"/>
      <c r="AD725" s="237">
        <v>420000</v>
      </c>
      <c r="AE725" s="243"/>
      <c r="AF725" s="237">
        <v>9396</v>
      </c>
      <c r="AG725" s="243"/>
      <c r="AH725" s="237">
        <v>13077</v>
      </c>
      <c r="AI725" s="243"/>
    </row>
    <row r="726" spans="2:35">
      <c r="B726" s="364" t="s">
        <v>272</v>
      </c>
      <c r="C726" s="244"/>
      <c r="D726" s="237">
        <f t="shared" si="44"/>
        <v>1544474</v>
      </c>
      <c r="E726" s="243"/>
      <c r="F726" s="237">
        <v>801767</v>
      </c>
      <c r="G726" s="243"/>
      <c r="H726" s="237">
        <v>44644</v>
      </c>
      <c r="I726" s="244"/>
      <c r="J726" s="237">
        <v>42480</v>
      </c>
      <c r="K726" s="243"/>
      <c r="L726" s="244">
        <v>18467</v>
      </c>
      <c r="M726" s="243"/>
      <c r="N726" s="237">
        <v>48344</v>
      </c>
      <c r="O726" s="243"/>
      <c r="P726" s="237">
        <v>84666</v>
      </c>
      <c r="Q726" s="243"/>
      <c r="R726" s="237">
        <v>51855</v>
      </c>
      <c r="S726" s="243"/>
      <c r="T726" s="237">
        <v>249859</v>
      </c>
      <c r="U726" s="243"/>
      <c r="V726" s="348">
        <v>31035</v>
      </c>
      <c r="W726" s="243"/>
      <c r="X726" s="237">
        <v>59180</v>
      </c>
      <c r="Y726" s="243"/>
      <c r="Z726" s="237">
        <v>79338</v>
      </c>
      <c r="AA726" s="243"/>
      <c r="AB726" s="237">
        <v>8228</v>
      </c>
      <c r="AC726" s="243"/>
      <c r="AD726" s="237">
        <v>418</v>
      </c>
      <c r="AE726" s="243"/>
      <c r="AF726" s="237">
        <v>23499</v>
      </c>
      <c r="AG726" s="243"/>
      <c r="AH726" s="237">
        <v>694</v>
      </c>
      <c r="AI726" s="243"/>
    </row>
    <row r="727" spans="2:35">
      <c r="B727" s="364" t="s">
        <v>280</v>
      </c>
      <c r="C727" s="244"/>
      <c r="D727" s="237">
        <f t="shared" si="44"/>
        <v>36165318</v>
      </c>
      <c r="E727" s="243"/>
      <c r="F727" s="237">
        <v>29791049</v>
      </c>
      <c r="G727" s="243"/>
      <c r="H727" s="237">
        <v>138444</v>
      </c>
      <c r="I727" s="244"/>
      <c r="J727" s="237">
        <v>57885</v>
      </c>
      <c r="K727" s="243"/>
      <c r="L727" s="244">
        <v>4660</v>
      </c>
      <c r="M727" s="243"/>
      <c r="N727" s="237">
        <v>0</v>
      </c>
      <c r="O727" s="243"/>
      <c r="P727" s="237">
        <v>2213767</v>
      </c>
      <c r="Q727" s="243"/>
      <c r="R727" s="237">
        <v>1492105</v>
      </c>
      <c r="S727" s="243"/>
      <c r="T727" s="237">
        <v>2065096</v>
      </c>
      <c r="U727" s="243"/>
      <c r="V727" s="348">
        <v>205670</v>
      </c>
      <c r="W727" s="243"/>
      <c r="X727" s="237">
        <v>0</v>
      </c>
      <c r="Y727" s="243"/>
      <c r="Z727" s="237">
        <v>84804</v>
      </c>
      <c r="AA727" s="243"/>
      <c r="AB727" s="237"/>
      <c r="AC727" s="243"/>
      <c r="AD727" s="237">
        <v>111838</v>
      </c>
      <c r="AE727" s="243"/>
      <c r="AF727" s="237"/>
      <c r="AG727" s="243"/>
      <c r="AH727" s="237"/>
      <c r="AI727" s="243"/>
    </row>
    <row r="728" spans="2:35">
      <c r="B728" s="364" t="s">
        <v>281</v>
      </c>
      <c r="C728" s="244"/>
      <c r="D728" s="237">
        <f t="shared" si="44"/>
        <v>1135616</v>
      </c>
      <c r="E728" s="243"/>
      <c r="F728" s="237"/>
      <c r="G728" s="243"/>
      <c r="H728" s="237"/>
      <c r="I728" s="244"/>
      <c r="J728" s="237">
        <v>10337</v>
      </c>
      <c r="K728" s="243"/>
      <c r="L728" s="244">
        <v>0</v>
      </c>
      <c r="M728" s="243"/>
      <c r="N728" s="237">
        <v>0</v>
      </c>
      <c r="O728" s="243"/>
      <c r="P728" s="237"/>
      <c r="Q728" s="243"/>
      <c r="R728" s="237"/>
      <c r="S728" s="243"/>
      <c r="T728" s="237">
        <v>25000</v>
      </c>
      <c r="U728" s="243"/>
      <c r="V728" s="348">
        <v>189010</v>
      </c>
      <c r="W728" s="243"/>
      <c r="X728" s="237">
        <v>224153</v>
      </c>
      <c r="Y728" s="243"/>
      <c r="Z728" s="237">
        <v>76873</v>
      </c>
      <c r="AA728" s="243"/>
      <c r="AB728" s="237"/>
      <c r="AC728" s="243"/>
      <c r="AD728" s="237">
        <v>610243</v>
      </c>
      <c r="AE728" s="243"/>
      <c r="AF728" s="237"/>
      <c r="AG728" s="243"/>
      <c r="AH728" s="237"/>
      <c r="AI728" s="243"/>
    </row>
    <row r="729" spans="2:35">
      <c r="B729" s="364" t="s">
        <v>994</v>
      </c>
      <c r="C729" s="244"/>
      <c r="D729" s="237">
        <f t="shared" si="44"/>
        <v>23158007</v>
      </c>
      <c r="E729" s="243"/>
      <c r="F729" s="237">
        <v>5148695</v>
      </c>
      <c r="G729" s="243"/>
      <c r="H729" s="237">
        <v>361494</v>
      </c>
      <c r="I729" s="244"/>
      <c r="J729" s="237">
        <v>449925</v>
      </c>
      <c r="K729" s="243"/>
      <c r="L729" s="244">
        <v>469111</v>
      </c>
      <c r="M729" s="243"/>
      <c r="N729" s="237">
        <v>329220</v>
      </c>
      <c r="O729" s="243"/>
      <c r="P729" s="237">
        <v>3591840</v>
      </c>
      <c r="Q729" s="243"/>
      <c r="R729" s="237">
        <v>357270</v>
      </c>
      <c r="S729" s="243"/>
      <c r="T729" s="237">
        <v>1712472</v>
      </c>
      <c r="U729" s="243"/>
      <c r="V729" s="348">
        <v>939159</v>
      </c>
      <c r="W729" s="243"/>
      <c r="X729" s="237">
        <v>497415</v>
      </c>
      <c r="Y729" s="243"/>
      <c r="Z729" s="237">
        <v>1029329</v>
      </c>
      <c r="AA729" s="243"/>
      <c r="AB729" s="237">
        <v>162419</v>
      </c>
      <c r="AC729" s="243"/>
      <c r="AD729" s="237">
        <v>4690925</v>
      </c>
      <c r="AE729" s="243"/>
      <c r="AF729" s="237">
        <v>3025549</v>
      </c>
      <c r="AG729" s="243"/>
      <c r="AH729" s="237">
        <v>393184</v>
      </c>
      <c r="AI729" s="243"/>
    </row>
    <row r="730" spans="2:35">
      <c r="B730" s="364" t="s">
        <v>995</v>
      </c>
      <c r="C730" s="244"/>
      <c r="D730" s="237">
        <f t="shared" si="44"/>
        <v>30374491</v>
      </c>
      <c r="E730" s="243"/>
      <c r="F730" s="237">
        <v>24193737</v>
      </c>
      <c r="G730" s="243"/>
      <c r="H730" s="237">
        <v>18118</v>
      </c>
      <c r="I730" s="244"/>
      <c r="J730" s="237">
        <v>78127</v>
      </c>
      <c r="K730" s="243"/>
      <c r="L730" s="244">
        <v>1150276</v>
      </c>
      <c r="M730" s="243"/>
      <c r="N730" s="237">
        <v>0</v>
      </c>
      <c r="O730" s="243"/>
      <c r="P730" s="237">
        <v>155728</v>
      </c>
      <c r="Q730" s="243"/>
      <c r="R730" s="237">
        <v>6000</v>
      </c>
      <c r="S730" s="243"/>
      <c r="T730" s="237">
        <v>695939</v>
      </c>
      <c r="U730" s="243"/>
      <c r="V730" s="348">
        <v>2506683</v>
      </c>
      <c r="W730" s="243"/>
      <c r="X730" s="237">
        <v>440502</v>
      </c>
      <c r="Y730" s="243"/>
      <c r="Z730" s="237">
        <v>661840</v>
      </c>
      <c r="AA730" s="243"/>
      <c r="AB730" s="237">
        <v>37190</v>
      </c>
      <c r="AC730" s="243"/>
      <c r="AD730" s="237">
        <v>252191</v>
      </c>
      <c r="AE730" s="243"/>
      <c r="AF730" s="237">
        <v>178160</v>
      </c>
      <c r="AG730" s="243"/>
      <c r="AH730" s="237"/>
      <c r="AI730" s="243" t="s">
        <v>371</v>
      </c>
    </row>
    <row r="731" spans="2:35">
      <c r="B731" s="364" t="s">
        <v>996</v>
      </c>
      <c r="C731" s="244"/>
      <c r="D731" s="237">
        <f t="shared" si="44"/>
        <v>7176120</v>
      </c>
      <c r="E731" s="243"/>
      <c r="F731" s="237">
        <v>3626539</v>
      </c>
      <c r="G731" s="243"/>
      <c r="H731" s="237">
        <v>156023</v>
      </c>
      <c r="I731" s="244"/>
      <c r="J731" s="237">
        <v>95939</v>
      </c>
      <c r="K731" s="243"/>
      <c r="L731" s="244">
        <v>340665</v>
      </c>
      <c r="M731" s="243"/>
      <c r="N731" s="237">
        <v>37016</v>
      </c>
      <c r="O731" s="243"/>
      <c r="P731" s="237">
        <v>660199</v>
      </c>
      <c r="Q731" s="243"/>
      <c r="R731" s="237">
        <v>125525</v>
      </c>
      <c r="S731" s="243"/>
      <c r="T731" s="237">
        <v>370289</v>
      </c>
      <c r="U731" s="243"/>
      <c r="V731" s="348">
        <v>405958</v>
      </c>
      <c r="W731" s="243"/>
      <c r="X731" s="237">
        <v>60456</v>
      </c>
      <c r="Y731" s="243"/>
      <c r="Z731" s="237">
        <v>227671</v>
      </c>
      <c r="AA731" s="243"/>
      <c r="AB731" s="237">
        <v>187841</v>
      </c>
      <c r="AC731" s="243"/>
      <c r="AD731" s="237">
        <v>411623</v>
      </c>
      <c r="AE731" s="243"/>
      <c r="AF731" s="237">
        <v>461788</v>
      </c>
      <c r="AG731" s="243"/>
      <c r="AH731" s="237">
        <v>8588</v>
      </c>
      <c r="AI731" s="243"/>
    </row>
    <row r="732" spans="2:35">
      <c r="B732" s="364" t="s">
        <v>997</v>
      </c>
      <c r="C732" s="244"/>
      <c r="D732" s="237">
        <f t="shared" si="44"/>
        <v>1540027</v>
      </c>
      <c r="E732" s="243"/>
      <c r="F732" s="237">
        <v>796296</v>
      </c>
      <c r="G732" s="243"/>
      <c r="H732" s="237">
        <v>28739</v>
      </c>
      <c r="I732" s="244"/>
      <c r="J732" s="237">
        <v>57221</v>
      </c>
      <c r="K732" s="243"/>
      <c r="L732" s="244">
        <v>39471</v>
      </c>
      <c r="M732" s="243"/>
      <c r="N732" s="237">
        <v>19825</v>
      </c>
      <c r="O732" s="243"/>
      <c r="P732" s="237">
        <v>93668</v>
      </c>
      <c r="Q732" s="243"/>
      <c r="R732" s="237">
        <v>31439</v>
      </c>
      <c r="S732" s="243"/>
      <c r="T732" s="237">
        <v>240959</v>
      </c>
      <c r="U732" s="243"/>
      <c r="V732" s="348">
        <v>63751</v>
      </c>
      <c r="W732" s="243"/>
      <c r="X732" s="237">
        <v>7189</v>
      </c>
      <c r="Y732" s="243"/>
      <c r="Z732" s="237">
        <v>48065</v>
      </c>
      <c r="AA732" s="243"/>
      <c r="AB732" s="237">
        <v>16759</v>
      </c>
      <c r="AC732" s="243"/>
      <c r="AD732" s="237">
        <v>37003</v>
      </c>
      <c r="AE732" s="243"/>
      <c r="AF732" s="237">
        <v>57829</v>
      </c>
      <c r="AG732" s="243"/>
      <c r="AH732" s="237">
        <v>1813</v>
      </c>
      <c r="AI732" s="243"/>
    </row>
    <row r="733" spans="2:35">
      <c r="B733" s="364" t="s">
        <v>998</v>
      </c>
      <c r="C733" s="244"/>
      <c r="D733" s="237">
        <f t="shared" si="44"/>
        <v>16493631</v>
      </c>
      <c r="E733" s="243"/>
      <c r="F733" s="237">
        <v>6926908</v>
      </c>
      <c r="G733" s="243"/>
      <c r="H733" s="237">
        <v>339894</v>
      </c>
      <c r="I733" s="244"/>
      <c r="J733" s="237">
        <v>471796</v>
      </c>
      <c r="K733" s="243"/>
      <c r="L733" s="244">
        <v>569470</v>
      </c>
      <c r="M733" s="243"/>
      <c r="N733" s="237">
        <v>236167</v>
      </c>
      <c r="O733" s="243"/>
      <c r="P733" s="237">
        <v>1400716</v>
      </c>
      <c r="Q733" s="243"/>
      <c r="R733" s="237">
        <v>374884</v>
      </c>
      <c r="S733" s="243"/>
      <c r="T733" s="237">
        <v>875198</v>
      </c>
      <c r="U733" s="243"/>
      <c r="V733" s="348">
        <v>980672</v>
      </c>
      <c r="W733" s="243"/>
      <c r="X733" s="237">
        <v>384703</v>
      </c>
      <c r="Y733" s="243"/>
      <c r="Z733" s="237">
        <v>707503</v>
      </c>
      <c r="AA733" s="243"/>
      <c r="AB733" s="237">
        <v>502036</v>
      </c>
      <c r="AC733" s="243"/>
      <c r="AD733" s="237">
        <v>1421262</v>
      </c>
      <c r="AE733" s="243"/>
      <c r="AF733" s="237">
        <v>1249241</v>
      </c>
      <c r="AG733" s="243"/>
      <c r="AH733" s="237">
        <v>53181</v>
      </c>
      <c r="AI733" s="243"/>
    </row>
    <row r="734" spans="2:35">
      <c r="B734" s="364" t="s">
        <v>999</v>
      </c>
      <c r="C734" s="244"/>
      <c r="D734" s="237">
        <f t="shared" si="44"/>
        <v>9069927</v>
      </c>
      <c r="E734" s="243"/>
      <c r="F734" s="237">
        <v>8982666</v>
      </c>
      <c r="G734" s="243"/>
      <c r="H734" s="237">
        <v>20224</v>
      </c>
      <c r="I734" s="244"/>
      <c r="J734" s="237">
        <v>32897</v>
      </c>
      <c r="K734" s="243"/>
      <c r="L734" s="244"/>
      <c r="M734" s="243"/>
      <c r="N734" s="237">
        <v>0</v>
      </c>
      <c r="O734" s="243"/>
      <c r="P734" s="237"/>
      <c r="Q734" s="243"/>
      <c r="R734" s="237"/>
      <c r="S734" s="243"/>
      <c r="T734" s="237">
        <v>21819</v>
      </c>
      <c r="U734" s="243"/>
      <c r="V734" s="348">
        <v>2320</v>
      </c>
      <c r="W734" s="243"/>
      <c r="X734" s="237"/>
      <c r="Y734" s="243"/>
      <c r="Z734" s="237"/>
      <c r="AA734" s="243"/>
      <c r="AB734" s="237">
        <v>3877</v>
      </c>
      <c r="AC734" s="243"/>
      <c r="AD734" s="237">
        <v>6124</v>
      </c>
      <c r="AE734" s="243"/>
      <c r="AF734" s="237">
        <v>0</v>
      </c>
      <c r="AG734" s="243"/>
      <c r="AH734" s="237"/>
      <c r="AI734" s="243"/>
    </row>
    <row r="735" spans="2:35">
      <c r="B735" s="364" t="s">
        <v>1000</v>
      </c>
      <c r="C735" s="244"/>
      <c r="D735" s="237">
        <f t="shared" si="44"/>
        <v>49289643</v>
      </c>
      <c r="E735" s="243"/>
      <c r="F735" s="237">
        <v>20917334</v>
      </c>
      <c r="G735" s="243"/>
      <c r="H735" s="237">
        <v>1498922</v>
      </c>
      <c r="I735" s="244"/>
      <c r="J735" s="237">
        <v>1581335</v>
      </c>
      <c r="K735" s="243"/>
      <c r="L735" s="244">
        <v>2781568</v>
      </c>
      <c r="M735" s="243"/>
      <c r="N735" s="237">
        <v>930858</v>
      </c>
      <c r="O735" s="243"/>
      <c r="P735" s="237">
        <v>2737121</v>
      </c>
      <c r="Q735" s="243"/>
      <c r="R735" s="237">
        <v>1841129</v>
      </c>
      <c r="S735" s="243"/>
      <c r="T735" s="237">
        <v>3690321</v>
      </c>
      <c r="U735" s="243"/>
      <c r="V735" s="348">
        <v>3609646</v>
      </c>
      <c r="W735" s="243"/>
      <c r="X735" s="237">
        <v>497962</v>
      </c>
      <c r="Y735" s="243"/>
      <c r="Z735" s="237">
        <v>2620509</v>
      </c>
      <c r="AA735" s="243"/>
      <c r="AB735" s="237">
        <v>661232</v>
      </c>
      <c r="AC735" s="243"/>
      <c r="AD735" s="237">
        <v>2951271</v>
      </c>
      <c r="AE735" s="243"/>
      <c r="AF735" s="237">
        <v>2809038</v>
      </c>
      <c r="AG735" s="243"/>
      <c r="AH735" s="237">
        <v>161397</v>
      </c>
      <c r="AI735" s="243"/>
    </row>
    <row r="736" spans="2:35">
      <c r="B736" s="364" t="s">
        <v>1001</v>
      </c>
      <c r="C736" s="244"/>
      <c r="D736" s="237">
        <f t="shared" si="44"/>
        <v>19307067</v>
      </c>
      <c r="E736" s="243"/>
      <c r="F736" s="237">
        <v>11438681</v>
      </c>
      <c r="G736" s="243"/>
      <c r="H736" s="237">
        <v>360018</v>
      </c>
      <c r="I736" s="244"/>
      <c r="J736" s="237">
        <v>221578</v>
      </c>
      <c r="K736" s="243"/>
      <c r="L736" s="244">
        <v>791772</v>
      </c>
      <c r="M736" s="243"/>
      <c r="N736" s="237">
        <v>173765</v>
      </c>
      <c r="O736" s="243"/>
      <c r="P736" s="237">
        <v>561820</v>
      </c>
      <c r="Q736" s="243"/>
      <c r="R736" s="237">
        <v>221698</v>
      </c>
      <c r="S736" s="243"/>
      <c r="T736" s="237">
        <v>1134249</v>
      </c>
      <c r="U736" s="243"/>
      <c r="V736" s="348">
        <v>967919</v>
      </c>
      <c r="W736" s="243"/>
      <c r="X736" s="237">
        <v>131261</v>
      </c>
      <c r="Y736" s="243"/>
      <c r="Z736" s="237">
        <v>809937</v>
      </c>
      <c r="AA736" s="243"/>
      <c r="AB736" s="237">
        <v>230991</v>
      </c>
      <c r="AC736" s="243"/>
      <c r="AD736" s="237">
        <v>1399160</v>
      </c>
      <c r="AE736" s="243"/>
      <c r="AF736" s="237">
        <v>862338</v>
      </c>
      <c r="AG736" s="243"/>
      <c r="AH736" s="237">
        <v>1880</v>
      </c>
      <c r="AI736" s="243"/>
    </row>
    <row r="737" spans="2:35">
      <c r="B737" s="364" t="s">
        <v>1002</v>
      </c>
      <c r="C737" s="244"/>
      <c r="D737" s="237">
        <f t="shared" si="44"/>
        <v>6240694</v>
      </c>
      <c r="E737" s="243"/>
      <c r="F737" s="237">
        <v>3210251</v>
      </c>
      <c r="G737" s="243"/>
      <c r="H737" s="237">
        <v>53017</v>
      </c>
      <c r="I737" s="244"/>
      <c r="J737" s="237">
        <v>117893</v>
      </c>
      <c r="K737" s="243"/>
      <c r="L737" s="244">
        <v>387715</v>
      </c>
      <c r="M737" s="243"/>
      <c r="N737" s="237">
        <v>92363</v>
      </c>
      <c r="O737" s="243"/>
      <c r="P737" s="237">
        <v>177267</v>
      </c>
      <c r="Q737" s="243"/>
      <c r="R737" s="237">
        <v>132868</v>
      </c>
      <c r="S737" s="243"/>
      <c r="T737" s="237">
        <v>281800</v>
      </c>
      <c r="U737" s="243"/>
      <c r="V737" s="348">
        <v>276699</v>
      </c>
      <c r="W737" s="243"/>
      <c r="X737" s="237">
        <v>92808</v>
      </c>
      <c r="Y737" s="243"/>
      <c r="Z737" s="237">
        <v>441198</v>
      </c>
      <c r="AA737" s="243"/>
      <c r="AB737" s="237">
        <v>144184</v>
      </c>
      <c r="AC737" s="243"/>
      <c r="AD737" s="237">
        <v>350060</v>
      </c>
      <c r="AE737" s="243"/>
      <c r="AF737" s="237">
        <v>461916</v>
      </c>
      <c r="AG737" s="243"/>
      <c r="AH737" s="237">
        <v>20655</v>
      </c>
      <c r="AI737" s="243"/>
    </row>
    <row r="738" spans="2:35">
      <c r="B738" s="364" t="s">
        <v>1003</v>
      </c>
      <c r="C738" s="244"/>
      <c r="D738" s="237">
        <f t="shared" si="44"/>
        <v>43450544</v>
      </c>
      <c r="E738" s="243"/>
      <c r="F738" s="237">
        <v>8351511</v>
      </c>
      <c r="G738" s="243"/>
      <c r="H738" s="237"/>
      <c r="I738" s="244"/>
      <c r="J738" s="237">
        <v>170781</v>
      </c>
      <c r="K738" s="243"/>
      <c r="L738" s="244">
        <v>511500</v>
      </c>
      <c r="M738" s="243"/>
      <c r="N738" s="237">
        <v>16000</v>
      </c>
      <c r="O738" s="243"/>
      <c r="P738" s="237">
        <v>999340</v>
      </c>
      <c r="Q738" s="243"/>
      <c r="R738" s="237">
        <v>20000</v>
      </c>
      <c r="S738" s="243"/>
      <c r="T738" s="237">
        <v>965251</v>
      </c>
      <c r="U738" s="243"/>
      <c r="V738" s="348">
        <v>4832740</v>
      </c>
      <c r="W738" s="243"/>
      <c r="X738" s="237">
        <v>85871</v>
      </c>
      <c r="Y738" s="243"/>
      <c r="Z738" s="237">
        <v>3562266</v>
      </c>
      <c r="AA738" s="243"/>
      <c r="AB738" s="237">
        <v>547515</v>
      </c>
      <c r="AC738" s="243"/>
      <c r="AD738" s="237">
        <v>4847251</v>
      </c>
      <c r="AE738" s="243"/>
      <c r="AF738" s="237">
        <v>18540518</v>
      </c>
      <c r="AG738" s="243"/>
      <c r="AH738" s="237"/>
      <c r="AI738" s="243"/>
    </row>
    <row r="739" spans="2:35">
      <c r="B739" s="364" t="s">
        <v>1004</v>
      </c>
      <c r="C739" s="244"/>
      <c r="D739" s="237">
        <f t="shared" si="44"/>
        <v>5842656</v>
      </c>
      <c r="E739" s="243"/>
      <c r="F739" s="237">
        <f>G790</f>
        <v>2626321</v>
      </c>
      <c r="G739" s="243"/>
      <c r="H739" s="237">
        <f>I790</f>
        <v>169383</v>
      </c>
      <c r="I739" s="244"/>
      <c r="J739" s="237">
        <f>K790</f>
        <v>193821</v>
      </c>
      <c r="K739" s="243"/>
      <c r="L739" s="237">
        <f>M790</f>
        <v>151686</v>
      </c>
      <c r="M739" s="243"/>
      <c r="N739" s="237">
        <f>O790</f>
        <v>218351</v>
      </c>
      <c r="O739" s="243"/>
      <c r="P739" s="758">
        <f>Q790</f>
        <v>321165</v>
      </c>
      <c r="Q739" s="243"/>
      <c r="R739" s="237">
        <f>S790</f>
        <v>176009</v>
      </c>
      <c r="S739" s="243"/>
      <c r="T739" s="237">
        <f>U790</f>
        <v>303233</v>
      </c>
      <c r="U739" s="243"/>
      <c r="V739" s="348">
        <f>W790</f>
        <v>394850</v>
      </c>
      <c r="W739" s="243"/>
      <c r="X739" s="237">
        <f>Y790</f>
        <v>179776</v>
      </c>
      <c r="Y739" s="243"/>
      <c r="Z739" s="758">
        <f>AA790</f>
        <v>182023</v>
      </c>
      <c r="AA739" s="243"/>
      <c r="AB739" s="237">
        <f>AC790</f>
        <v>317047</v>
      </c>
      <c r="AC739" s="243"/>
      <c r="AD739" s="237">
        <f>AE790</f>
        <v>179776</v>
      </c>
      <c r="AE739" s="243"/>
      <c r="AF739" s="237">
        <f>AG790</f>
        <v>429215</v>
      </c>
      <c r="AG739" s="243"/>
      <c r="AH739" s="237"/>
      <c r="AI739" s="243"/>
    </row>
    <row r="740" spans="2:35">
      <c r="B740" s="364" t="s">
        <v>1005</v>
      </c>
      <c r="C740" s="244"/>
      <c r="D740" s="237">
        <f t="shared" si="44"/>
        <v>4707598</v>
      </c>
      <c r="E740" s="243"/>
      <c r="F740" s="237">
        <v>1285010</v>
      </c>
      <c r="G740" s="243"/>
      <c r="H740" s="237">
        <v>91526</v>
      </c>
      <c r="I740" s="244"/>
      <c r="J740" s="237">
        <v>590</v>
      </c>
      <c r="K740" s="243"/>
      <c r="L740" s="244">
        <v>150060</v>
      </c>
      <c r="M740" s="243"/>
      <c r="N740" s="237">
        <v>5433</v>
      </c>
      <c r="O740" s="243"/>
      <c r="P740" s="237">
        <v>744618</v>
      </c>
      <c r="Q740" s="243"/>
      <c r="R740" s="237">
        <v>41735</v>
      </c>
      <c r="S740" s="243"/>
      <c r="T740" s="237">
        <v>52382</v>
      </c>
      <c r="U740" s="243"/>
      <c r="V740" s="348">
        <v>96118</v>
      </c>
      <c r="W740" s="243"/>
      <c r="X740" s="237">
        <v>9841</v>
      </c>
      <c r="Y740" s="243"/>
      <c r="Z740" s="237">
        <v>500388</v>
      </c>
      <c r="AA740" s="243"/>
      <c r="AB740" s="237">
        <v>-9840</v>
      </c>
      <c r="AC740" s="243"/>
      <c r="AD740" s="237">
        <v>1578363</v>
      </c>
      <c r="AE740" s="243"/>
      <c r="AF740" s="237">
        <v>161273</v>
      </c>
      <c r="AG740" s="243"/>
      <c r="AH740" s="237">
        <v>101</v>
      </c>
      <c r="AI740" s="243"/>
    </row>
    <row r="741" spans="2:35">
      <c r="B741" s="364" t="s">
        <v>1006</v>
      </c>
      <c r="C741" s="244"/>
      <c r="D741" s="237">
        <f t="shared" si="44"/>
        <v>565937</v>
      </c>
      <c r="E741" s="243"/>
      <c r="F741" s="237">
        <v>223427</v>
      </c>
      <c r="G741" s="243"/>
      <c r="H741" s="237">
        <v>11536</v>
      </c>
      <c r="I741" s="244"/>
      <c r="J741" s="237">
        <v>16839</v>
      </c>
      <c r="K741" s="243"/>
      <c r="L741" s="244">
        <v>10184</v>
      </c>
      <c r="M741" s="243"/>
      <c r="N741" s="237">
        <v>29241</v>
      </c>
      <c r="O741" s="243"/>
      <c r="P741" s="237">
        <v>43085</v>
      </c>
      <c r="Q741" s="243"/>
      <c r="R741" s="237">
        <v>10325</v>
      </c>
      <c r="S741" s="243"/>
      <c r="T741" s="237">
        <v>57958</v>
      </c>
      <c r="U741" s="243"/>
      <c r="V741" s="348">
        <v>30374</v>
      </c>
      <c r="W741" s="243"/>
      <c r="X741" s="237">
        <v>15012</v>
      </c>
      <c r="Y741" s="243"/>
      <c r="Z741" s="237">
        <v>26155</v>
      </c>
      <c r="AA741" s="243"/>
      <c r="AB741" s="237">
        <v>21237</v>
      </c>
      <c r="AC741" s="243"/>
      <c r="AD741" s="237">
        <v>14457</v>
      </c>
      <c r="AE741" s="243"/>
      <c r="AF741" s="237">
        <v>50886</v>
      </c>
      <c r="AG741" s="243"/>
      <c r="AH741" s="237">
        <v>5221</v>
      </c>
      <c r="AI741" s="243"/>
    </row>
    <row r="742" spans="2:35">
      <c r="B742" s="364" t="s">
        <v>1007</v>
      </c>
      <c r="C742" s="244"/>
      <c r="D742" s="237">
        <f t="shared" si="44"/>
        <v>5005677</v>
      </c>
      <c r="E742" s="243"/>
      <c r="F742" s="237">
        <v>4440691</v>
      </c>
      <c r="G742" s="243"/>
      <c r="H742" s="237">
        <v>38844</v>
      </c>
      <c r="I742" s="244"/>
      <c r="J742" s="237"/>
      <c r="K742" s="243"/>
      <c r="L742" s="244">
        <v>17294</v>
      </c>
      <c r="M742" s="243"/>
      <c r="N742" s="237">
        <v>1510</v>
      </c>
      <c r="O742" s="243"/>
      <c r="P742" s="237">
        <v>166361</v>
      </c>
      <c r="Q742" s="243"/>
      <c r="R742" s="237">
        <v>110285</v>
      </c>
      <c r="S742" s="243"/>
      <c r="T742" s="237">
        <v>58721</v>
      </c>
      <c r="U742" s="243"/>
      <c r="V742" s="348">
        <v>77240</v>
      </c>
      <c r="W742" s="243"/>
      <c r="X742" s="237">
        <v>0</v>
      </c>
      <c r="Y742" s="243"/>
      <c r="Z742" s="237">
        <v>6780</v>
      </c>
      <c r="AA742" s="243"/>
      <c r="AB742" s="237">
        <v>0</v>
      </c>
      <c r="AC742" s="243"/>
      <c r="AD742" s="237">
        <v>47846</v>
      </c>
      <c r="AE742" s="243"/>
      <c r="AF742" s="237">
        <v>40105</v>
      </c>
      <c r="AG742" s="243"/>
      <c r="AH742" s="237"/>
      <c r="AI742" s="243"/>
    </row>
    <row r="743" spans="2:35">
      <c r="B743" s="364" t="s">
        <v>1008</v>
      </c>
      <c r="C743" s="244"/>
      <c r="D743" s="237">
        <f t="shared" si="44"/>
        <v>18098487</v>
      </c>
      <c r="E743" s="243"/>
      <c r="F743" s="237">
        <v>9690003</v>
      </c>
      <c r="G743" s="243"/>
      <c r="H743" s="237">
        <v>176800</v>
      </c>
      <c r="I743" s="244"/>
      <c r="J743" s="237">
        <v>437135</v>
      </c>
      <c r="K743" s="243"/>
      <c r="L743" s="244">
        <v>222243</v>
      </c>
      <c r="M743" s="243"/>
      <c r="N743" s="237">
        <v>498970</v>
      </c>
      <c r="O743" s="243"/>
      <c r="P743" s="237">
        <v>1976670</v>
      </c>
      <c r="Q743" s="243"/>
      <c r="R743" s="237">
        <v>522490</v>
      </c>
      <c r="S743" s="243"/>
      <c r="T743" s="237">
        <v>803757</v>
      </c>
      <c r="U743" s="243"/>
      <c r="V743" s="348">
        <v>632134</v>
      </c>
      <c r="W743" s="243"/>
      <c r="X743" s="237">
        <v>133824</v>
      </c>
      <c r="Y743" s="243"/>
      <c r="Z743" s="237">
        <v>495632</v>
      </c>
      <c r="AA743" s="243"/>
      <c r="AB743" s="237">
        <v>314834</v>
      </c>
      <c r="AC743" s="243"/>
      <c r="AD743" s="237">
        <v>1136162</v>
      </c>
      <c r="AE743" s="243"/>
      <c r="AF743" s="237">
        <v>1046550</v>
      </c>
      <c r="AG743" s="243"/>
      <c r="AH743" s="237">
        <v>11283</v>
      </c>
      <c r="AI743" s="243"/>
    </row>
    <row r="744" spans="2:35">
      <c r="B744" s="364" t="s">
        <v>1009</v>
      </c>
      <c r="C744" s="244"/>
      <c r="D744" s="237">
        <f t="shared" si="44"/>
        <v>643142</v>
      </c>
      <c r="E744" s="243"/>
      <c r="F744" s="237"/>
      <c r="G744" s="243"/>
      <c r="H744" s="237"/>
      <c r="I744" s="244"/>
      <c r="J744" s="237"/>
      <c r="K744" s="243"/>
      <c r="L744" s="244">
        <v>0</v>
      </c>
      <c r="M744" s="243"/>
      <c r="N744" s="237"/>
      <c r="O744" s="243"/>
      <c r="P744" s="237"/>
      <c r="Q744" s="243"/>
      <c r="R744" s="237"/>
      <c r="S744" s="243"/>
      <c r="T744" s="237">
        <v>12240</v>
      </c>
      <c r="U744" s="243"/>
      <c r="V744" s="348">
        <v>0</v>
      </c>
      <c r="W744" s="243"/>
      <c r="X744" s="237"/>
      <c r="Y744" s="243"/>
      <c r="Z744" s="237">
        <v>23259</v>
      </c>
      <c r="AA744" s="243"/>
      <c r="AB744" s="237">
        <v>0</v>
      </c>
      <c r="AC744" s="243"/>
      <c r="AD744" s="237">
        <v>607643</v>
      </c>
      <c r="AE744" s="243"/>
      <c r="AF744" s="237"/>
      <c r="AG744" s="243"/>
      <c r="AH744" s="237"/>
      <c r="AI744" s="243"/>
    </row>
    <row r="745" spans="2:35">
      <c r="B745" s="364" t="s">
        <v>1010</v>
      </c>
      <c r="C745" s="244"/>
      <c r="D745" s="237">
        <f t="shared" si="44"/>
        <v>2882138</v>
      </c>
      <c r="E745" s="243"/>
      <c r="F745" s="237">
        <v>2801376</v>
      </c>
      <c r="G745" s="243"/>
      <c r="H745" s="237">
        <v>10000</v>
      </c>
      <c r="I745" s="244"/>
      <c r="J745" s="237"/>
      <c r="K745" s="243"/>
      <c r="L745" s="244">
        <v>1685</v>
      </c>
      <c r="M745" s="243"/>
      <c r="N745" s="237">
        <v>5618</v>
      </c>
      <c r="O745" s="243"/>
      <c r="P745" s="237">
        <v>9548</v>
      </c>
      <c r="Q745" s="243"/>
      <c r="R745" s="237"/>
      <c r="S745" s="243"/>
      <c r="T745" s="237">
        <v>39060</v>
      </c>
      <c r="U745" s="243"/>
      <c r="V745" s="348">
        <v>2000</v>
      </c>
      <c r="W745" s="243"/>
      <c r="X745" s="237"/>
      <c r="Y745" s="243"/>
      <c r="Z745" s="237">
        <v>9812</v>
      </c>
      <c r="AA745" s="243"/>
      <c r="AB745" s="237">
        <v>0</v>
      </c>
      <c r="AC745" s="243"/>
      <c r="AD745" s="237">
        <v>0</v>
      </c>
      <c r="AE745" s="243"/>
      <c r="AF745" s="237">
        <v>3039</v>
      </c>
      <c r="AG745" s="243"/>
      <c r="AH745" s="237"/>
      <c r="AI745" s="243"/>
    </row>
    <row r="746" spans="2:35">
      <c r="B746" s="364" t="s">
        <v>1011</v>
      </c>
      <c r="C746" s="244"/>
      <c r="D746" s="237">
        <f t="shared" si="44"/>
        <v>5441779</v>
      </c>
      <c r="E746" s="243"/>
      <c r="F746" s="237">
        <v>5208568</v>
      </c>
      <c r="G746" s="243"/>
      <c r="H746" s="237">
        <v>7418</v>
      </c>
      <c r="I746" s="244"/>
      <c r="J746" s="237"/>
      <c r="K746" s="243"/>
      <c r="L746" s="244">
        <v>4300</v>
      </c>
      <c r="M746" s="243"/>
      <c r="N746" s="237">
        <v>15000</v>
      </c>
      <c r="O746" s="243"/>
      <c r="P746" s="237"/>
      <c r="Q746" s="243"/>
      <c r="R746" s="237"/>
      <c r="S746" s="243"/>
      <c r="T746" s="237">
        <v>10503</v>
      </c>
      <c r="U746" s="243"/>
      <c r="V746" s="348">
        <v>2400</v>
      </c>
      <c r="W746" s="243"/>
      <c r="X746" s="237"/>
      <c r="Y746" s="243"/>
      <c r="Z746" s="237">
        <v>1200</v>
      </c>
      <c r="AA746" s="243"/>
      <c r="AB746" s="237">
        <v>0</v>
      </c>
      <c r="AC746" s="243"/>
      <c r="AD746" s="237">
        <v>62305</v>
      </c>
      <c r="AE746" s="243"/>
      <c r="AF746" s="237">
        <v>130085</v>
      </c>
      <c r="AG746" s="243"/>
      <c r="AH746" s="237"/>
      <c r="AI746" s="243"/>
    </row>
    <row r="747" spans="2:35">
      <c r="B747" s="364" t="s">
        <v>1012</v>
      </c>
      <c r="C747" s="244"/>
      <c r="D747" s="237">
        <f t="shared" si="44"/>
        <v>21350125</v>
      </c>
      <c r="E747" s="243"/>
      <c r="F747" s="237">
        <v>12598186</v>
      </c>
      <c r="G747" s="243"/>
      <c r="H747" s="237">
        <v>549150</v>
      </c>
      <c r="I747" s="244"/>
      <c r="J747" s="237">
        <v>407402</v>
      </c>
      <c r="K747" s="243"/>
      <c r="L747" s="244">
        <v>423119</v>
      </c>
      <c r="M747" s="243"/>
      <c r="N747" s="237">
        <v>266113</v>
      </c>
      <c r="O747" s="243"/>
      <c r="P747" s="237">
        <v>947593</v>
      </c>
      <c r="Q747" s="243"/>
      <c r="R747" s="237">
        <v>225096</v>
      </c>
      <c r="S747" s="243"/>
      <c r="T747" s="237">
        <v>394918</v>
      </c>
      <c r="U747" s="243"/>
      <c r="V747" s="348">
        <v>641753</v>
      </c>
      <c r="W747" s="243"/>
      <c r="X747" s="237">
        <v>430323</v>
      </c>
      <c r="Y747" s="243"/>
      <c r="Z747" s="237">
        <v>541292</v>
      </c>
      <c r="AA747" s="243"/>
      <c r="AB747" s="237">
        <v>432561</v>
      </c>
      <c r="AC747" s="243"/>
      <c r="AD747" s="237">
        <v>1334546</v>
      </c>
      <c r="AE747" s="243"/>
      <c r="AF747" s="237">
        <v>2148073</v>
      </c>
      <c r="AG747" s="243"/>
      <c r="AH747" s="237">
        <v>10000</v>
      </c>
      <c r="AI747" s="243"/>
    </row>
    <row r="748" spans="2:35">
      <c r="B748" s="364" t="s">
        <v>1013</v>
      </c>
      <c r="C748" s="244"/>
      <c r="D748" s="237">
        <f t="shared" si="44"/>
        <v>18227685</v>
      </c>
      <c r="E748" s="243"/>
      <c r="F748" s="237">
        <v>17979685</v>
      </c>
      <c r="G748" s="243"/>
      <c r="H748" s="237"/>
      <c r="I748" s="244"/>
      <c r="J748" s="237"/>
      <c r="K748" s="243"/>
      <c r="L748" s="244"/>
      <c r="M748" s="243"/>
      <c r="N748" s="237"/>
      <c r="O748" s="243"/>
      <c r="P748" s="237">
        <v>248000</v>
      </c>
      <c r="Q748" s="243"/>
      <c r="R748" s="237"/>
      <c r="S748" s="243"/>
      <c r="T748" s="237"/>
      <c r="U748" s="243"/>
      <c r="V748" s="348"/>
      <c r="W748" s="243"/>
      <c r="X748" s="237"/>
      <c r="Y748" s="243"/>
      <c r="Z748" s="237"/>
      <c r="AA748" s="243"/>
      <c r="AB748" s="237">
        <v>0</v>
      </c>
      <c r="AC748" s="243"/>
      <c r="AD748" s="237">
        <v>0</v>
      </c>
      <c r="AE748" s="243"/>
      <c r="AF748" s="237"/>
      <c r="AG748" s="243"/>
      <c r="AH748" s="237"/>
      <c r="AI748" s="243"/>
    </row>
    <row r="749" spans="2:35">
      <c r="B749" s="364" t="s">
        <v>1014</v>
      </c>
      <c r="C749" s="244"/>
      <c r="D749" s="237">
        <f t="shared" si="44"/>
        <v>-45386290</v>
      </c>
      <c r="E749" s="243"/>
      <c r="F749" s="237">
        <v>-73590461</v>
      </c>
      <c r="G749" s="243"/>
      <c r="H749" s="237">
        <v>-8263</v>
      </c>
      <c r="I749" s="244"/>
      <c r="J749" s="237"/>
      <c r="K749" s="243"/>
      <c r="L749" s="244">
        <v>26235184</v>
      </c>
      <c r="M749" s="243"/>
      <c r="N749" s="237"/>
      <c r="O749" s="243"/>
      <c r="P749" s="237">
        <v>1616114</v>
      </c>
      <c r="Q749" s="243"/>
      <c r="R749" s="237">
        <v>46339</v>
      </c>
      <c r="S749" s="243"/>
      <c r="T749" s="237">
        <v>345569</v>
      </c>
      <c r="U749" s="243"/>
      <c r="V749" s="348"/>
      <c r="W749" s="243"/>
      <c r="X749" s="237"/>
      <c r="Y749" s="243"/>
      <c r="Z749" s="237"/>
      <c r="AA749" s="243"/>
      <c r="AB749" s="237">
        <v>0</v>
      </c>
      <c r="AC749" s="243"/>
      <c r="AD749" s="237">
        <v>-16755</v>
      </c>
      <c r="AE749" s="243"/>
      <c r="AF749" s="237">
        <f>-3248996-AF713</f>
        <v>-14017</v>
      </c>
      <c r="AG749" s="243"/>
      <c r="AH749" s="237"/>
      <c r="AI749" s="243"/>
    </row>
    <row r="750" spans="2:35">
      <c r="B750" s="364" t="s">
        <v>1015</v>
      </c>
      <c r="C750" s="244"/>
      <c r="D750" s="237">
        <f t="shared" si="44"/>
        <v>0</v>
      </c>
      <c r="E750" s="243"/>
      <c r="F750" s="237"/>
      <c r="G750" s="243"/>
      <c r="H750" s="237"/>
      <c r="I750" s="244"/>
      <c r="J750" s="237"/>
      <c r="K750" s="243"/>
      <c r="L750" s="244"/>
      <c r="M750" s="243"/>
      <c r="N750" s="237"/>
      <c r="O750" s="243"/>
      <c r="P750" s="237"/>
      <c r="Q750" s="243"/>
      <c r="R750" s="237"/>
      <c r="S750" s="243"/>
      <c r="T750" s="237"/>
      <c r="U750" s="243"/>
      <c r="V750" s="348"/>
      <c r="W750" s="243"/>
      <c r="X750" s="237"/>
      <c r="Y750" s="243"/>
      <c r="Z750" s="237"/>
      <c r="AA750" s="243"/>
      <c r="AB750" s="237">
        <v>0</v>
      </c>
      <c r="AC750" s="243"/>
      <c r="AD750" s="237"/>
      <c r="AE750" s="243"/>
      <c r="AF750" s="237"/>
      <c r="AG750" s="243"/>
      <c r="AH750" s="237"/>
      <c r="AI750" s="243"/>
    </row>
    <row r="751" spans="2:35">
      <c r="B751" s="364" t="s">
        <v>1016</v>
      </c>
      <c r="C751" s="244"/>
      <c r="D751" s="237">
        <f t="shared" si="44"/>
        <v>3070400</v>
      </c>
      <c r="E751" s="243"/>
      <c r="F751" s="237">
        <v>2945665</v>
      </c>
      <c r="G751" s="243"/>
      <c r="H751" s="237">
        <v>15301</v>
      </c>
      <c r="I751" s="244"/>
      <c r="J751" s="237"/>
      <c r="K751" s="243"/>
      <c r="L751" s="244"/>
      <c r="M751" s="243"/>
      <c r="N751" s="237"/>
      <c r="O751" s="243"/>
      <c r="P751" s="237"/>
      <c r="Q751" s="243"/>
      <c r="R751" s="237"/>
      <c r="S751" s="243"/>
      <c r="T751" s="237"/>
      <c r="U751" s="243"/>
      <c r="V751" s="348"/>
      <c r="W751" s="243"/>
      <c r="X751" s="237"/>
      <c r="Y751" s="243"/>
      <c r="Z751" s="237"/>
      <c r="AA751" s="243"/>
      <c r="AB751" s="237">
        <v>109434</v>
      </c>
      <c r="AC751" s="243"/>
      <c r="AD751" s="237"/>
      <c r="AE751" s="243"/>
      <c r="AF751" s="237"/>
      <c r="AG751" s="243"/>
      <c r="AH751" s="237"/>
      <c r="AI751" s="243"/>
    </row>
    <row r="752" spans="2:35">
      <c r="B752" s="364" t="s">
        <v>880</v>
      </c>
      <c r="C752" s="244"/>
      <c r="D752" s="237">
        <f t="shared" si="44"/>
        <v>-6122097</v>
      </c>
      <c r="E752" s="243"/>
      <c r="F752" s="237">
        <f>G808</f>
        <v>-12384584</v>
      </c>
      <c r="G752" s="243"/>
      <c r="H752" s="237">
        <f>I808</f>
        <v>-1608027</v>
      </c>
      <c r="I752" s="244"/>
      <c r="J752" s="237">
        <v>-808102</v>
      </c>
      <c r="K752" s="243"/>
      <c r="L752" s="237">
        <f>M808</f>
        <v>928413</v>
      </c>
      <c r="M752" s="243"/>
      <c r="N752" s="237"/>
      <c r="O752" s="243"/>
      <c r="P752" s="237">
        <f>Q808</f>
        <v>297619</v>
      </c>
      <c r="Q752" s="243"/>
      <c r="R752" s="237"/>
      <c r="S752" s="243"/>
      <c r="T752" s="237"/>
      <c r="U752" s="243"/>
      <c r="V752" s="348">
        <f>W808</f>
        <v>3900000</v>
      </c>
      <c r="W752" s="243"/>
      <c r="X752" s="237">
        <f>Y808</f>
        <v>31000</v>
      </c>
      <c r="Y752" s="243"/>
      <c r="Z752" s="237">
        <f>AA808</f>
        <v>-10106620</v>
      </c>
      <c r="AA752" s="243"/>
      <c r="AB752" s="237">
        <f>AC808</f>
        <v>-188629</v>
      </c>
      <c r="AC752" s="243"/>
      <c r="AD752" s="237">
        <f>AE808</f>
        <v>34917518</v>
      </c>
      <c r="AE752" s="243"/>
      <c r="AF752" s="237">
        <f>AG808</f>
        <v>-21100685</v>
      </c>
      <c r="AG752" s="243"/>
      <c r="AH752" s="237"/>
      <c r="AI752" s="243"/>
    </row>
    <row r="753" spans="2:35">
      <c r="B753" s="364" t="s">
        <v>1017</v>
      </c>
      <c r="C753" s="244"/>
      <c r="D753" s="237">
        <f t="shared" si="44"/>
        <v>37963093</v>
      </c>
      <c r="E753" s="243"/>
      <c r="F753" s="237"/>
      <c r="G753" s="243"/>
      <c r="H753" s="237"/>
      <c r="I753" s="244"/>
      <c r="J753" s="237"/>
      <c r="K753" s="243"/>
      <c r="L753" s="244">
        <v>1138522</v>
      </c>
      <c r="M753" s="243"/>
      <c r="N753" s="237">
        <v>423430</v>
      </c>
      <c r="O753" s="243"/>
      <c r="P753" s="237"/>
      <c r="Q753" s="243"/>
      <c r="R753" s="237">
        <v>3463870</v>
      </c>
      <c r="S753" s="243"/>
      <c r="T753" s="237"/>
      <c r="U753" s="243"/>
      <c r="V753" s="348">
        <v>47209</v>
      </c>
      <c r="W753" s="243"/>
      <c r="X753" s="237"/>
      <c r="Y753" s="243"/>
      <c r="Z753" s="237">
        <v>49785</v>
      </c>
      <c r="AA753" s="243"/>
      <c r="AB753" s="237">
        <v>1796153</v>
      </c>
      <c r="AC753" s="243"/>
      <c r="AD753" s="237">
        <v>31044124</v>
      </c>
      <c r="AE753" s="243"/>
      <c r="AF753" s="237"/>
      <c r="AG753" s="243"/>
      <c r="AH753" s="237"/>
      <c r="AI753" s="243"/>
    </row>
    <row r="754" spans="2:35" ht="21">
      <c r="B754" s="364" t="s">
        <v>1018</v>
      </c>
      <c r="C754" s="244"/>
      <c r="D754" s="237">
        <f t="shared" si="44"/>
        <v>697753</v>
      </c>
      <c r="E754" s="243"/>
      <c r="F754" s="237"/>
      <c r="G754" s="243"/>
      <c r="H754" s="237"/>
      <c r="I754" s="244"/>
      <c r="J754" s="237"/>
      <c r="K754" s="243"/>
      <c r="L754" s="244">
        <v>0</v>
      </c>
      <c r="M754" s="243"/>
      <c r="N754" s="237"/>
      <c r="O754" s="243"/>
      <c r="P754" s="237">
        <v>139848</v>
      </c>
      <c r="Q754" s="243"/>
      <c r="R754" s="237"/>
      <c r="S754" s="243"/>
      <c r="T754" s="237"/>
      <c r="U754" s="243"/>
      <c r="V754" s="348">
        <v>0</v>
      </c>
      <c r="W754" s="243"/>
      <c r="X754" s="237"/>
      <c r="Y754" s="243"/>
      <c r="Z754" s="237"/>
      <c r="AA754" s="243"/>
      <c r="AB754" s="237">
        <v>116603</v>
      </c>
      <c r="AC754" s="243"/>
      <c r="AD754" s="237">
        <v>0</v>
      </c>
      <c r="AE754" s="243"/>
      <c r="AF754" s="237"/>
      <c r="AG754" s="243"/>
      <c r="AH754" s="237">
        <v>441302</v>
      </c>
      <c r="AI754" s="243"/>
    </row>
    <row r="755" spans="2:35" ht="21">
      <c r="B755" s="364" t="s">
        <v>1019</v>
      </c>
      <c r="C755" s="244"/>
      <c r="D755" s="237">
        <f t="shared" si="44"/>
        <v>62526949</v>
      </c>
      <c r="E755" s="243"/>
      <c r="F755" s="237"/>
      <c r="G755" s="243"/>
      <c r="H755" s="237"/>
      <c r="I755" s="244"/>
      <c r="J755" s="237"/>
      <c r="K755" s="243"/>
      <c r="L755" s="244">
        <v>0</v>
      </c>
      <c r="M755" s="243"/>
      <c r="N755" s="237"/>
      <c r="O755" s="243"/>
      <c r="P755" s="237">
        <v>31942820</v>
      </c>
      <c r="Q755" s="243"/>
      <c r="R755" s="237">
        <v>17366608</v>
      </c>
      <c r="S755" s="243"/>
      <c r="T755" s="237">
        <v>4783240</v>
      </c>
      <c r="U755" s="243"/>
      <c r="V755" s="348">
        <v>0</v>
      </c>
      <c r="W755" s="243"/>
      <c r="X755" s="237"/>
      <c r="Y755" s="243"/>
      <c r="Z755" s="237"/>
      <c r="AA755" s="243"/>
      <c r="AB755" s="237">
        <v>775510</v>
      </c>
      <c r="AC755" s="243"/>
      <c r="AD755" s="237">
        <v>0</v>
      </c>
      <c r="AE755" s="243"/>
      <c r="AF755" s="237">
        <v>7658771</v>
      </c>
      <c r="AG755" s="243"/>
      <c r="AH755" s="237"/>
      <c r="AI755" s="243"/>
    </row>
    <row r="756" spans="2:35" ht="12" thickBot="1">
      <c r="B756" s="364" t="s">
        <v>1020</v>
      </c>
      <c r="C756" s="244"/>
      <c r="D756" s="245">
        <f>F756+H756+J756+L756+N756+P756+R756+T756+V756+X756+Z756+AB756+AD756+AF756+AH756</f>
        <v>114539689</v>
      </c>
      <c r="E756" s="243">
        <f>+SUM(D722:D756)</f>
        <v>540556947</v>
      </c>
      <c r="F756" s="245">
        <v>74084333</v>
      </c>
      <c r="G756" s="243">
        <f>+SUM(F722:F756)</f>
        <v>183779010</v>
      </c>
      <c r="H756" s="245">
        <f>1502050+1</f>
        <v>1502051</v>
      </c>
      <c r="I756" s="243">
        <f t="shared" ref="I756" si="45">+SUM(H722:H756)</f>
        <v>6003505</v>
      </c>
      <c r="J756" s="245">
        <f>2024037+1</f>
        <v>2024038</v>
      </c>
      <c r="K756" s="243">
        <f t="shared" ref="K756" si="46">+SUM(J722:J756)</f>
        <v>7181927</v>
      </c>
      <c r="L756" s="245">
        <v>2600753</v>
      </c>
      <c r="M756" s="243">
        <f t="shared" ref="M756" si="47">+SUM(L722:L756)</f>
        <v>41004388</v>
      </c>
      <c r="N756" s="245">
        <v>981000</v>
      </c>
      <c r="O756" s="243">
        <f t="shared" ref="O756" si="48">+SUM(N722:N756)</f>
        <v>5399231</v>
      </c>
      <c r="P756" s="245">
        <f>5778711-1</f>
        <v>5778710</v>
      </c>
      <c r="Q756" s="243">
        <f t="shared" ref="Q756" si="49">+SUM(P722:P756)</f>
        <v>65758932</v>
      </c>
      <c r="R756" s="245">
        <v>821696</v>
      </c>
      <c r="S756" s="243">
        <f t="shared" ref="S756" si="50">+SUM(R722:R756)</f>
        <v>27920046</v>
      </c>
      <c r="T756" s="245">
        <v>2763193</v>
      </c>
      <c r="U756" s="243">
        <f t="shared" ref="U756" si="51">+SUM(T722:T756)</f>
        <v>22923958</v>
      </c>
      <c r="V756" s="245">
        <v>4722206</v>
      </c>
      <c r="W756" s="243">
        <f t="shared" ref="W756" si="52">+SUM(V722:V756)</f>
        <v>28787012</v>
      </c>
      <c r="X756" s="245">
        <v>952737</v>
      </c>
      <c r="Y756" s="243">
        <f t="shared" ref="Y756" si="53">+SUM(X722:X756)</f>
        <v>5337537</v>
      </c>
      <c r="Z756" s="245">
        <f>2076628-2</f>
        <v>2076626</v>
      </c>
      <c r="AA756" s="243">
        <f t="shared" ref="AA756" si="54">+SUM(Z722:Z756)</f>
        <v>7357046</v>
      </c>
      <c r="AB756" s="245">
        <f>1216615+1</f>
        <v>1216616</v>
      </c>
      <c r="AC756" s="243">
        <f t="shared" ref="AC756" si="55">+SUM(AB722:AB756)</f>
        <v>8292438</v>
      </c>
      <c r="AD756" s="245">
        <v>11644720</v>
      </c>
      <c r="AE756" s="243">
        <f t="shared" ref="AE756" si="56">+SUM(AD722:AD756)</f>
        <v>101335322</v>
      </c>
      <c r="AF756" s="245">
        <v>3279141</v>
      </c>
      <c r="AG756" s="243">
        <f t="shared" ref="AG756" si="57">+SUM(AF722:AF756)</f>
        <v>27024310</v>
      </c>
      <c r="AH756" s="245">
        <v>91869</v>
      </c>
      <c r="AI756" s="243">
        <f t="shared" ref="AI756" si="58">+SUM(AH722:AH756)</f>
        <v>2452285</v>
      </c>
    </row>
    <row r="757" spans="2:35">
      <c r="B757" s="327"/>
      <c r="C757" s="244"/>
      <c r="D757" s="237"/>
      <c r="E757" s="243"/>
      <c r="F757" s="237"/>
      <c r="G757" s="243"/>
      <c r="H757" s="237"/>
      <c r="I757" s="244"/>
      <c r="J757" s="237"/>
      <c r="K757" s="243"/>
      <c r="L757" s="244"/>
      <c r="M757" s="243"/>
      <c r="N757" s="237"/>
      <c r="O757" s="243"/>
      <c r="P757" s="237"/>
      <c r="Q757" s="243"/>
      <c r="R757" s="237"/>
      <c r="S757" s="243"/>
      <c r="T757" s="237"/>
      <c r="U757" s="243"/>
      <c r="V757" s="348"/>
      <c r="W757" s="243"/>
      <c r="X757" s="237"/>
      <c r="Y757" s="243"/>
      <c r="Z757" s="237"/>
      <c r="AA757" s="243"/>
      <c r="AB757" s="237"/>
      <c r="AC757" s="243"/>
      <c r="AD757" s="237"/>
      <c r="AE757" s="243"/>
      <c r="AF757" s="237"/>
      <c r="AG757" s="243"/>
      <c r="AH757" s="237"/>
      <c r="AI757" s="243"/>
    </row>
    <row r="758" spans="2:35" ht="12" thickBot="1">
      <c r="B758" s="784" t="s">
        <v>806</v>
      </c>
      <c r="C758" s="244"/>
      <c r="D758" s="237"/>
      <c r="E758" s="246">
        <f>SUM(E709:E757)</f>
        <v>15671952414</v>
      </c>
      <c r="F758" s="237"/>
      <c r="G758" s="246">
        <f>SUM(G709:G757)</f>
        <v>180901316</v>
      </c>
      <c r="H758" s="237"/>
      <c r="I758" s="513">
        <f>SUM(I709:I757)</f>
        <v>338087506</v>
      </c>
      <c r="J758" s="237"/>
      <c r="K758" s="246">
        <f>SUM(K709:K757)</f>
        <v>3037008922</v>
      </c>
      <c r="L758" s="244"/>
      <c r="M758" s="246">
        <f>SUM(M709:M757)</f>
        <v>1414938334</v>
      </c>
      <c r="N758" s="237"/>
      <c r="O758" s="246">
        <f>SUM(O709:O757)</f>
        <v>5750058</v>
      </c>
      <c r="P758" s="237"/>
      <c r="Q758" s="246">
        <f>SUM(Q709:Q757)</f>
        <v>1666983449</v>
      </c>
      <c r="R758" s="237"/>
      <c r="S758" s="246">
        <f>SUM(S709:S757)</f>
        <v>67476778</v>
      </c>
      <c r="T758" s="237"/>
      <c r="U758" s="246">
        <f>SUM(U709:U757)</f>
        <v>4288325001</v>
      </c>
      <c r="V758" s="348"/>
      <c r="W758" s="246">
        <f>SUM(W709:W757)</f>
        <v>1301167921</v>
      </c>
      <c r="X758" s="237"/>
      <c r="Y758" s="246">
        <f>SUM(Y709:Y757)</f>
        <v>8587705</v>
      </c>
      <c r="Z758" s="237"/>
      <c r="AA758" s="246">
        <f>SUM(AA709:AA757)</f>
        <v>1553733411</v>
      </c>
      <c r="AB758" s="237"/>
      <c r="AC758" s="246">
        <f>SUM(AC709:AC757)</f>
        <v>27746310</v>
      </c>
      <c r="AD758" s="237"/>
      <c r="AE758" s="246">
        <f>SUM(AE709:AE757)</f>
        <v>901267894</v>
      </c>
      <c r="AF758" s="237"/>
      <c r="AG758" s="246">
        <f>SUM(AG709:AG757)</f>
        <v>877525524</v>
      </c>
      <c r="AH758" s="237"/>
      <c r="AI758" s="246">
        <f>SUM(AI709:AI757)</f>
        <v>2452285</v>
      </c>
    </row>
    <row r="759" spans="2:35" ht="12.75" thickTop="1" thickBot="1">
      <c r="B759" s="245"/>
      <c r="C759" s="248"/>
      <c r="D759" s="245"/>
      <c r="E759" s="247"/>
      <c r="F759" s="248"/>
      <c r="G759" s="247"/>
      <c r="H759" s="248"/>
      <c r="I759" s="248"/>
      <c r="J759" s="245"/>
      <c r="K759" s="247"/>
      <c r="L759" s="248"/>
      <c r="M759" s="247"/>
      <c r="N759" s="248"/>
      <c r="O759" s="247"/>
      <c r="P759" s="248"/>
      <c r="Q759" s="247"/>
      <c r="R759" s="248"/>
      <c r="S759" s="247"/>
      <c r="T759" s="248"/>
      <c r="U759" s="247"/>
      <c r="V759" s="384"/>
      <c r="W759" s="247"/>
      <c r="X759" s="248"/>
      <c r="Y759" s="247"/>
      <c r="Z759" s="248"/>
      <c r="AA759" s="247"/>
      <c r="AB759" s="248"/>
      <c r="AC759" s="247"/>
      <c r="AD759" s="248"/>
      <c r="AE759" s="247"/>
      <c r="AF759" s="248"/>
      <c r="AG759" s="247"/>
      <c r="AH759" s="248"/>
      <c r="AI759" s="247"/>
    </row>
    <row r="761" spans="2:35" ht="39.75" hidden="1" customHeight="1">
      <c r="B761" s="1475" t="s">
        <v>935</v>
      </c>
      <c r="C761" s="1475"/>
      <c r="D761" s="1475"/>
      <c r="E761" s="1475"/>
      <c r="F761" s="1475"/>
      <c r="G761" s="1475"/>
    </row>
    <row r="762" spans="2:35" hidden="1"/>
    <row r="763" spans="2:35" ht="35.25" hidden="1" customHeight="1">
      <c r="B763" s="1475" t="s">
        <v>936</v>
      </c>
      <c r="C763" s="1475"/>
      <c r="D763" s="1475"/>
      <c r="E763" s="1475"/>
      <c r="F763" s="1475"/>
      <c r="G763" s="1475"/>
    </row>
    <row r="764" spans="2:35" hidden="1"/>
    <row r="765" spans="2:35" ht="21.75" hidden="1">
      <c r="B765" s="318" t="s">
        <v>283</v>
      </c>
    </row>
    <row r="766" spans="2:35" hidden="1"/>
    <row r="767" spans="2:35">
      <c r="B767" s="451" t="s">
        <v>284</v>
      </c>
    </row>
    <row r="768" spans="2:35" ht="12" thickBot="1">
      <c r="G768" s="335" t="s">
        <v>247</v>
      </c>
    </row>
    <row r="769" spans="2:35" ht="12" thickBot="1">
      <c r="B769" s="425"/>
      <c r="C769" s="274"/>
      <c r="D769" s="1463" t="s">
        <v>860</v>
      </c>
      <c r="E769" s="1464"/>
      <c r="F769" s="1463" t="s">
        <v>17</v>
      </c>
      <c r="G769" s="1464"/>
      <c r="H769" s="1463" t="s">
        <v>18</v>
      </c>
      <c r="I769" s="1464"/>
      <c r="J769" s="1463" t="s">
        <v>19</v>
      </c>
      <c r="K769" s="1464"/>
      <c r="L769" s="1463" t="s">
        <v>20</v>
      </c>
      <c r="M769" s="1464"/>
      <c r="N769" s="1463" t="s">
        <v>21</v>
      </c>
      <c r="O769" s="1464"/>
      <c r="P769" s="1463" t="s">
        <v>22</v>
      </c>
      <c r="Q769" s="1464"/>
      <c r="R769" s="1463" t="s">
        <v>23</v>
      </c>
      <c r="S769" s="1464"/>
      <c r="T769" s="1463" t="s">
        <v>24</v>
      </c>
      <c r="U769" s="1464"/>
      <c r="V769" s="1463" t="s">
        <v>25</v>
      </c>
      <c r="W769" s="1464"/>
      <c r="X769" s="1463" t="s">
        <v>26</v>
      </c>
      <c r="Y769" s="1464"/>
      <c r="Z769" s="1463" t="s">
        <v>27</v>
      </c>
      <c r="AA769" s="1464"/>
      <c r="AB769" s="1463" t="s">
        <v>28</v>
      </c>
      <c r="AC769" s="1464"/>
      <c r="AD769" s="1463" t="s">
        <v>29</v>
      </c>
      <c r="AE769" s="1464"/>
      <c r="AF769" s="1463" t="s">
        <v>30</v>
      </c>
      <c r="AG769" s="1464"/>
      <c r="AH769" s="1463" t="s">
        <v>31</v>
      </c>
      <c r="AI769" s="1464"/>
    </row>
    <row r="770" spans="2:35">
      <c r="B770" s="249" t="s">
        <v>883</v>
      </c>
      <c r="C770" s="251"/>
      <c r="D770" s="249"/>
      <c r="E770" s="250">
        <f>G770+I770+K770+M770+O770+Q770+S770+U770+W770+Y770+AA770+AC770+AE770+AG770+AI770</f>
        <v>0</v>
      </c>
      <c r="F770" s="249"/>
      <c r="G770" s="250">
        <v>0</v>
      </c>
      <c r="H770" s="249"/>
      <c r="I770" s="250"/>
      <c r="J770" s="249"/>
      <c r="K770" s="250"/>
      <c r="L770" s="249"/>
      <c r="M770" s="250"/>
      <c r="N770" s="249"/>
      <c r="O770" s="250"/>
      <c r="P770" s="249"/>
      <c r="Q770" s="250"/>
      <c r="R770" s="249"/>
      <c r="S770" s="250"/>
      <c r="T770" s="249"/>
      <c r="U770" s="250"/>
      <c r="V770" s="383"/>
      <c r="W770" s="250"/>
      <c r="X770" s="249"/>
      <c r="Y770" s="250"/>
      <c r="Z770" s="249"/>
      <c r="AA770" s="250"/>
      <c r="AB770" s="249"/>
      <c r="AC770" s="250"/>
      <c r="AD770" s="249"/>
      <c r="AE770" s="250"/>
      <c r="AF770" s="249"/>
      <c r="AG770" s="250"/>
      <c r="AH770" s="249"/>
      <c r="AI770" s="250"/>
    </row>
    <row r="771" spans="2:35">
      <c r="B771" s="237"/>
      <c r="C771" s="244"/>
      <c r="D771" s="237"/>
      <c r="E771" s="243">
        <f>G771+I771+K771+M771+O771+Q771+S771+U771+W771+Y771+AA771+AC771+AE771+AG771+AI771</f>
        <v>0</v>
      </c>
      <c r="F771" s="244"/>
      <c r="G771" s="243"/>
      <c r="H771" s="244"/>
      <c r="I771" s="243"/>
      <c r="J771" s="244"/>
      <c r="K771" s="243"/>
      <c r="L771" s="244"/>
      <c r="M771" s="243"/>
      <c r="N771" s="244"/>
      <c r="O771" s="243"/>
      <c r="P771" s="244"/>
      <c r="Q771" s="243"/>
      <c r="R771" s="244"/>
      <c r="S771" s="243"/>
      <c r="T771" s="244"/>
      <c r="U771" s="243"/>
      <c r="V771" s="341"/>
      <c r="W771" s="243"/>
      <c r="X771" s="244"/>
      <c r="Y771" s="243"/>
      <c r="Z771" s="244"/>
      <c r="AA771" s="243"/>
      <c r="AB771" s="244"/>
      <c r="AC771" s="243"/>
      <c r="AD771" s="244"/>
      <c r="AE771" s="243"/>
      <c r="AF771" s="244"/>
      <c r="AG771" s="243"/>
      <c r="AH771" s="244"/>
      <c r="AI771" s="243"/>
    </row>
    <row r="772" spans="2:35" ht="12" thickBot="1">
      <c r="B772" s="245"/>
      <c r="C772" s="248"/>
      <c r="D772" s="245"/>
      <c r="E772" s="247">
        <f>G772+I772+K772+M772+O772+Q772+S772+U772+W772+Y772+AA772+AC772+AE772+AG772+AI772</f>
        <v>0</v>
      </c>
      <c r="F772" s="248"/>
      <c r="G772" s="247"/>
      <c r="H772" s="248"/>
      <c r="I772" s="247"/>
      <c r="J772" s="248"/>
      <c r="K772" s="247"/>
      <c r="L772" s="248"/>
      <c r="M772" s="247"/>
      <c r="N772" s="248"/>
      <c r="O772" s="247"/>
      <c r="P772" s="248"/>
      <c r="Q772" s="247"/>
      <c r="R772" s="248"/>
      <c r="S772" s="247"/>
      <c r="T772" s="248"/>
      <c r="U772" s="247"/>
      <c r="V772" s="384"/>
      <c r="W772" s="247"/>
      <c r="X772" s="248"/>
      <c r="Y772" s="247"/>
      <c r="Z772" s="248"/>
      <c r="AA772" s="247"/>
      <c r="AB772" s="248"/>
      <c r="AC772" s="247"/>
      <c r="AD772" s="248"/>
      <c r="AE772" s="247"/>
      <c r="AF772" s="248"/>
      <c r="AG772" s="247"/>
      <c r="AH772" s="248"/>
      <c r="AI772" s="247"/>
    </row>
    <row r="774" spans="2:35">
      <c r="B774" s="1477" t="s">
        <v>285</v>
      </c>
      <c r="C774" s="1477"/>
      <c r="D774" s="1477"/>
    </row>
    <row r="775" spans="2:35" ht="12" thickBot="1">
      <c r="G775" s="335" t="s">
        <v>247</v>
      </c>
    </row>
    <row r="776" spans="2:35" ht="12" thickBot="1">
      <c r="B776" s="425"/>
      <c r="C776" s="274"/>
      <c r="D776" s="1463" t="s">
        <v>860</v>
      </c>
      <c r="E776" s="1464"/>
      <c r="F776" s="1463" t="s">
        <v>17</v>
      </c>
      <c r="G776" s="1464"/>
      <c r="H776" s="1463" t="s">
        <v>18</v>
      </c>
      <c r="I776" s="1464"/>
      <c r="J776" s="1463" t="s">
        <v>19</v>
      </c>
      <c r="K776" s="1464"/>
      <c r="L776" s="1463" t="s">
        <v>20</v>
      </c>
      <c r="M776" s="1464"/>
      <c r="N776" s="1463" t="s">
        <v>21</v>
      </c>
      <c r="O776" s="1464"/>
      <c r="P776" s="1463" t="s">
        <v>22</v>
      </c>
      <c r="Q776" s="1464"/>
      <c r="R776" s="1463" t="s">
        <v>23</v>
      </c>
      <c r="S776" s="1464"/>
      <c r="T776" s="1463" t="s">
        <v>24</v>
      </c>
      <c r="U776" s="1464"/>
      <c r="V776" s="1463" t="s">
        <v>25</v>
      </c>
      <c r="W776" s="1464"/>
      <c r="X776" s="1463" t="s">
        <v>26</v>
      </c>
      <c r="Y776" s="1464"/>
      <c r="Z776" s="1463" t="s">
        <v>27</v>
      </c>
      <c r="AA776" s="1464"/>
      <c r="AB776" s="1463" t="s">
        <v>28</v>
      </c>
      <c r="AC776" s="1464"/>
      <c r="AD776" s="1463" t="s">
        <v>29</v>
      </c>
      <c r="AE776" s="1464"/>
      <c r="AF776" s="1463" t="s">
        <v>30</v>
      </c>
      <c r="AG776" s="1464"/>
      <c r="AH776" s="1463" t="s">
        <v>31</v>
      </c>
      <c r="AI776" s="1464"/>
    </row>
    <row r="777" spans="2:35">
      <c r="B777" s="249" t="s">
        <v>291</v>
      </c>
      <c r="C777" s="251"/>
      <c r="D777" s="249"/>
      <c r="E777" s="250">
        <f>G777+I777+K777+M777+O777+Q777+S777+U777+W777+Y777+AA777+AC777+AE777+AG777+AI777</f>
        <v>0</v>
      </c>
      <c r="F777" s="249"/>
      <c r="G777" s="250"/>
      <c r="H777" s="249"/>
      <c r="I777" s="250"/>
      <c r="J777" s="249"/>
      <c r="K777" s="250"/>
      <c r="L777" s="249"/>
      <c r="M777" s="250"/>
      <c r="N777" s="249"/>
      <c r="O777" s="250"/>
      <c r="P777" s="249"/>
      <c r="Q777" s="250"/>
      <c r="R777" s="249"/>
      <c r="S777" s="250"/>
      <c r="T777" s="249"/>
      <c r="U777" s="250"/>
      <c r="V777" s="383"/>
      <c r="W777" s="250"/>
      <c r="X777" s="249"/>
      <c r="Y777" s="250"/>
      <c r="Z777" s="249"/>
      <c r="AA777" s="250"/>
      <c r="AB777" s="249"/>
      <c r="AC777" s="250"/>
      <c r="AD777" s="249"/>
      <c r="AE777" s="250"/>
      <c r="AF777" s="249"/>
      <c r="AG777" s="250"/>
      <c r="AH777" s="249"/>
      <c r="AI777" s="250"/>
    </row>
    <row r="778" spans="2:35">
      <c r="B778" s="237"/>
      <c r="C778" s="244"/>
      <c r="D778" s="237"/>
      <c r="E778" s="243">
        <f>G778+I778+K778+M778+O778+Q778+S778+U778+W778+Y778+AA778+AC778+AE778+AG778+AI778</f>
        <v>0</v>
      </c>
      <c r="F778" s="244"/>
      <c r="G778" s="243"/>
      <c r="H778" s="244"/>
      <c r="I778" s="243"/>
      <c r="J778" s="244"/>
      <c r="K778" s="243"/>
      <c r="L778" s="244"/>
      <c r="M778" s="243"/>
      <c r="N778" s="244"/>
      <c r="O778" s="243"/>
      <c r="P778" s="244"/>
      <c r="Q778" s="243"/>
      <c r="R778" s="244"/>
      <c r="S778" s="243"/>
      <c r="T778" s="244"/>
      <c r="U778" s="243"/>
      <c r="V778" s="341"/>
      <c r="W778" s="243"/>
      <c r="X778" s="244"/>
      <c r="Y778" s="243"/>
      <c r="Z778" s="244"/>
      <c r="AA778" s="243"/>
      <c r="AB778" s="244"/>
      <c r="AC778" s="243"/>
      <c r="AD778" s="244"/>
      <c r="AE778" s="243"/>
      <c r="AF778" s="244"/>
      <c r="AG778" s="243"/>
      <c r="AH778" s="244"/>
      <c r="AI778" s="243"/>
    </row>
    <row r="779" spans="2:35" ht="12" thickBot="1">
      <c r="B779" s="245"/>
      <c r="C779" s="248"/>
      <c r="D779" s="245"/>
      <c r="E779" s="247">
        <f>G779+I779+K779+M779+O779+Q779+S779+U779+W779+Y779+AA779+AC779+AE779+AG779+AI779</f>
        <v>0</v>
      </c>
      <c r="F779" s="248"/>
      <c r="G779" s="247"/>
      <c r="H779" s="248"/>
      <c r="I779" s="247"/>
      <c r="J779" s="248"/>
      <c r="K779" s="247"/>
      <c r="L779" s="248"/>
      <c r="M779" s="247"/>
      <c r="N779" s="248"/>
      <c r="O779" s="247"/>
      <c r="P779" s="248"/>
      <c r="Q779" s="247"/>
      <c r="R779" s="248"/>
      <c r="S779" s="247"/>
      <c r="T779" s="248"/>
      <c r="U779" s="247"/>
      <c r="V779" s="384"/>
      <c r="W779" s="247"/>
      <c r="X779" s="248"/>
      <c r="Y779" s="247"/>
      <c r="Z779" s="248"/>
      <c r="AA779" s="247"/>
      <c r="AB779" s="248"/>
      <c r="AC779" s="247"/>
      <c r="AD779" s="248"/>
      <c r="AE779" s="247"/>
      <c r="AF779" s="248"/>
      <c r="AG779" s="247"/>
      <c r="AH779" s="248"/>
      <c r="AI779" s="247"/>
    </row>
    <row r="781" spans="2:35">
      <c r="B781" s="444" t="s">
        <v>1023</v>
      </c>
    </row>
    <row r="782" spans="2:35" ht="12" thickBot="1">
      <c r="G782" s="335" t="s">
        <v>247</v>
      </c>
    </row>
    <row r="783" spans="2:35" ht="12" thickBot="1">
      <c r="B783" s="425"/>
      <c r="C783" s="274"/>
      <c r="D783" s="1473" t="s">
        <v>860</v>
      </c>
      <c r="E783" s="1474"/>
      <c r="F783" s="1463" t="s">
        <v>17</v>
      </c>
      <c r="G783" s="1464"/>
      <c r="H783" s="1463" t="s">
        <v>18</v>
      </c>
      <c r="I783" s="1464"/>
      <c r="J783" s="1463" t="s">
        <v>19</v>
      </c>
      <c r="K783" s="1464"/>
      <c r="L783" s="1463" t="s">
        <v>20</v>
      </c>
      <c r="M783" s="1464"/>
      <c r="N783" s="1463" t="s">
        <v>21</v>
      </c>
      <c r="O783" s="1464"/>
      <c r="P783" s="1463" t="s">
        <v>22</v>
      </c>
      <c r="Q783" s="1464"/>
      <c r="R783" s="1463" t="s">
        <v>23</v>
      </c>
      <c r="S783" s="1464"/>
      <c r="T783" s="1463" t="s">
        <v>24</v>
      </c>
      <c r="U783" s="1464"/>
      <c r="V783" s="1463" t="s">
        <v>25</v>
      </c>
      <c r="W783" s="1464"/>
      <c r="X783" s="1463" t="s">
        <v>26</v>
      </c>
      <c r="Y783" s="1464"/>
      <c r="Z783" s="1463" t="s">
        <v>27</v>
      </c>
      <c r="AA783" s="1464"/>
      <c r="AB783" s="1463" t="s">
        <v>28</v>
      </c>
      <c r="AC783" s="1464"/>
      <c r="AD783" s="1463" t="s">
        <v>29</v>
      </c>
      <c r="AE783" s="1464"/>
      <c r="AF783" s="1463" t="s">
        <v>30</v>
      </c>
      <c r="AG783" s="1464"/>
      <c r="AH783" s="1463" t="s">
        <v>31</v>
      </c>
      <c r="AI783" s="1464"/>
    </row>
    <row r="784" spans="2:35">
      <c r="B784" s="452" t="s">
        <v>286</v>
      </c>
      <c r="C784" s="251"/>
      <c r="D784" s="249"/>
      <c r="E784" s="250">
        <f t="shared" ref="E784:E789" si="59">G784+I784+K784+M784+O784+Q784+S784+U784+W784+Y784+AA784+AC784+AE784+AG784+AI784</f>
        <v>2588813</v>
      </c>
      <c r="F784" s="251"/>
      <c r="G784" s="250">
        <v>958994</v>
      </c>
      <c r="H784" s="251"/>
      <c r="I784" s="250">
        <v>83146</v>
      </c>
      <c r="J784" s="251"/>
      <c r="K784" s="250">
        <v>101124</v>
      </c>
      <c r="L784" s="251"/>
      <c r="M784" s="250">
        <v>101124</v>
      </c>
      <c r="N784" s="251"/>
      <c r="O784" s="250">
        <v>89888</v>
      </c>
      <c r="P784" s="251"/>
      <c r="Q784" s="250">
        <v>159551</v>
      </c>
      <c r="R784" s="251"/>
      <c r="S784" s="250">
        <v>75843</v>
      </c>
      <c r="T784" s="251"/>
      <c r="U784" s="250">
        <v>153933</v>
      </c>
      <c r="V784" s="427"/>
      <c r="W784" s="250">
        <v>187642</v>
      </c>
      <c r="X784" s="251"/>
      <c r="Y784" s="250">
        <v>89888</v>
      </c>
      <c r="Z784" s="251"/>
      <c r="AA784" s="250">
        <v>121349</v>
      </c>
      <c r="AB784" s="251"/>
      <c r="AC784" s="250">
        <v>251724</v>
      </c>
      <c r="AD784" s="251"/>
      <c r="AE784" s="250"/>
      <c r="AF784" s="251"/>
      <c r="AG784" s="250">
        <f>214608-1</f>
        <v>214607</v>
      </c>
      <c r="AH784" s="251"/>
      <c r="AI784" s="250"/>
    </row>
    <row r="785" spans="2:35">
      <c r="B785" s="364" t="s">
        <v>287</v>
      </c>
      <c r="C785" s="244"/>
      <c r="D785" s="237"/>
      <c r="E785" s="243">
        <f t="shared" si="59"/>
        <v>1154219</v>
      </c>
      <c r="F785" s="244"/>
      <c r="G785" s="243">
        <v>465170</v>
      </c>
      <c r="H785" s="244"/>
      <c r="I785" s="243">
        <v>41574</v>
      </c>
      <c r="J785" s="244"/>
      <c r="K785" s="243">
        <v>50562</v>
      </c>
      <c r="L785" s="244"/>
      <c r="M785" s="243">
        <v>50562</v>
      </c>
      <c r="N785" s="244"/>
      <c r="O785" s="243">
        <v>44944</v>
      </c>
      <c r="P785" s="244"/>
      <c r="Q785" s="243">
        <v>79775</v>
      </c>
      <c r="R785" s="244"/>
      <c r="S785" s="243">
        <v>37922</v>
      </c>
      <c r="T785" s="244"/>
      <c r="U785" s="243">
        <v>76967</v>
      </c>
      <c r="V785" s="341"/>
      <c r="W785" s="243">
        <v>93821</v>
      </c>
      <c r="X785" s="244"/>
      <c r="Y785" s="243">
        <v>44944</v>
      </c>
      <c r="Z785" s="244"/>
      <c r="AA785" s="243">
        <v>60674</v>
      </c>
      <c r="AB785" s="244"/>
      <c r="AC785" s="243">
        <v>0</v>
      </c>
      <c r="AD785" s="244"/>
      <c r="AE785" s="243"/>
      <c r="AF785" s="244"/>
      <c r="AG785" s="243">
        <v>107304</v>
      </c>
      <c r="AH785" s="244"/>
      <c r="AI785" s="243"/>
    </row>
    <row r="786" spans="2:35">
      <c r="B786" s="364" t="s">
        <v>288</v>
      </c>
      <c r="C786" s="244"/>
      <c r="D786" s="237"/>
      <c r="E786" s="243">
        <f t="shared" si="59"/>
        <v>0</v>
      </c>
      <c r="F786" s="244"/>
      <c r="G786" s="243"/>
      <c r="H786" s="244"/>
      <c r="I786" s="243"/>
      <c r="J786" s="244"/>
      <c r="K786" s="243"/>
      <c r="L786" s="244"/>
      <c r="M786" s="243"/>
      <c r="N786" s="244"/>
      <c r="O786" s="243"/>
      <c r="P786" s="244"/>
      <c r="Q786" s="243"/>
      <c r="R786" s="244"/>
      <c r="S786" s="243"/>
      <c r="T786" s="244"/>
      <c r="U786" s="243"/>
      <c r="V786" s="341"/>
      <c r="W786" s="243">
        <v>0</v>
      </c>
      <c r="X786" s="244"/>
      <c r="Y786" s="243">
        <v>0</v>
      </c>
      <c r="Z786" s="244"/>
      <c r="AA786" s="243"/>
      <c r="AB786" s="244"/>
      <c r="AC786" s="243">
        <v>0</v>
      </c>
      <c r="AD786" s="244"/>
      <c r="AE786" s="243"/>
      <c r="AF786" s="244"/>
      <c r="AG786" s="243"/>
      <c r="AH786" s="244"/>
      <c r="AI786" s="243"/>
    </row>
    <row r="787" spans="2:35">
      <c r="B787" s="364" t="s">
        <v>289</v>
      </c>
      <c r="C787" s="244"/>
      <c r="D787" s="237"/>
      <c r="E787" s="243">
        <f t="shared" si="59"/>
        <v>25281</v>
      </c>
      <c r="F787" s="244"/>
      <c r="G787" s="243"/>
      <c r="H787" s="244"/>
      <c r="I787" s="243"/>
      <c r="J787" s="244"/>
      <c r="K787" s="243"/>
      <c r="L787" s="244"/>
      <c r="M787" s="243"/>
      <c r="N787" s="244"/>
      <c r="O787" s="243">
        <v>25281</v>
      </c>
      <c r="P787" s="244"/>
      <c r="Q787" s="243"/>
      <c r="R787" s="244"/>
      <c r="S787" s="243"/>
      <c r="T787" s="244"/>
      <c r="U787" s="243"/>
      <c r="V787" s="341"/>
      <c r="W787" s="243">
        <v>0</v>
      </c>
      <c r="X787" s="244"/>
      <c r="Y787" s="243">
        <v>0</v>
      </c>
      <c r="Z787" s="244"/>
      <c r="AA787" s="243"/>
      <c r="AB787" s="244"/>
      <c r="AC787" s="243">
        <v>0</v>
      </c>
      <c r="AD787" s="244"/>
      <c r="AE787" s="243"/>
      <c r="AF787" s="244"/>
      <c r="AG787" s="243"/>
      <c r="AH787" s="244"/>
      <c r="AI787" s="243"/>
    </row>
    <row r="788" spans="2:35">
      <c r="B788" s="364" t="s">
        <v>290</v>
      </c>
      <c r="C788" s="244"/>
      <c r="D788" s="237"/>
      <c r="E788" s="243">
        <f t="shared" si="59"/>
        <v>1661274</v>
      </c>
      <c r="F788" s="244"/>
      <c r="G788" s="243">
        <v>1028038</v>
      </c>
      <c r="H788" s="244"/>
      <c r="I788" s="243">
        <v>44663</v>
      </c>
      <c r="J788" s="244"/>
      <c r="K788" s="243">
        <v>42135</v>
      </c>
      <c r="L788" s="244"/>
      <c r="M788" s="243"/>
      <c r="N788" s="244"/>
      <c r="O788" s="243"/>
      <c r="P788" s="244"/>
      <c r="Q788" s="243">
        <v>62079</v>
      </c>
      <c r="R788" s="244"/>
      <c r="S788" s="243">
        <v>42922</v>
      </c>
      <c r="T788" s="244"/>
      <c r="U788" s="243">
        <v>72333</v>
      </c>
      <c r="V788" s="341"/>
      <c r="W788" s="243"/>
      <c r="X788" s="244"/>
      <c r="Y788" s="243">
        <v>44944</v>
      </c>
      <c r="Z788" s="244"/>
      <c r="AA788" s="243"/>
      <c r="AB788" s="244"/>
      <c r="AC788" s="243">
        <v>37080</v>
      </c>
      <c r="AD788" s="244"/>
      <c r="AE788" s="243">
        <v>179776</v>
      </c>
      <c r="AF788" s="244"/>
      <c r="AG788" s="243">
        <v>107304</v>
      </c>
      <c r="AH788" s="244"/>
      <c r="AI788" s="243"/>
    </row>
    <row r="789" spans="2:35" ht="12" thickBot="1">
      <c r="B789" s="453" t="s">
        <v>292</v>
      </c>
      <c r="C789" s="248"/>
      <c r="D789" s="245"/>
      <c r="E789" s="247">
        <f t="shared" si="59"/>
        <v>413069</v>
      </c>
      <c r="F789" s="248"/>
      <c r="G789" s="247">
        <v>174119</v>
      </c>
      <c r="H789" s="248"/>
      <c r="I789" s="247"/>
      <c r="J789" s="248"/>
      <c r="K789" s="247"/>
      <c r="L789" s="248"/>
      <c r="M789" s="247"/>
      <c r="N789" s="248"/>
      <c r="O789" s="247">
        <v>58238</v>
      </c>
      <c r="P789" s="248"/>
      <c r="Q789" s="247">
        <v>19760</v>
      </c>
      <c r="R789" s="248"/>
      <c r="S789" s="247">
        <v>19322</v>
      </c>
      <c r="T789" s="248"/>
      <c r="U789" s="247"/>
      <c r="V789" s="384"/>
      <c r="W789" s="247">
        <v>113387</v>
      </c>
      <c r="X789" s="248"/>
      <c r="Y789" s="247"/>
      <c r="Z789" s="248"/>
      <c r="AA789" s="247"/>
      <c r="AB789" s="248"/>
      <c r="AC789" s="247">
        <v>28243</v>
      </c>
      <c r="AD789" s="248"/>
      <c r="AE789" s="247"/>
      <c r="AF789" s="248"/>
      <c r="AG789" s="247"/>
      <c r="AH789" s="248"/>
      <c r="AI789" s="247"/>
    </row>
    <row r="790" spans="2:35" ht="12" thickBot="1">
      <c r="B790" s="454" t="s">
        <v>806</v>
      </c>
      <c r="C790" s="333"/>
      <c r="D790" s="339"/>
      <c r="E790" s="334">
        <f>SUM(E784:E789)</f>
        <v>5842656</v>
      </c>
      <c r="F790" s="339"/>
      <c r="G790" s="334">
        <f>SUM(G784:G789)</f>
        <v>2626321</v>
      </c>
      <c r="H790" s="339"/>
      <c r="I790" s="334">
        <f>SUM(I784:I789)</f>
        <v>169383</v>
      </c>
      <c r="J790" s="339"/>
      <c r="K790" s="334">
        <f>SUM(K784:K789)</f>
        <v>193821</v>
      </c>
      <c r="L790" s="339"/>
      <c r="M790" s="334">
        <f>SUM(M784:M789)</f>
        <v>151686</v>
      </c>
      <c r="N790" s="339"/>
      <c r="O790" s="334">
        <f>SUM(O784:O789)</f>
        <v>218351</v>
      </c>
      <c r="P790" s="339"/>
      <c r="Q790" s="759">
        <f>SUM(Q784:Q789)</f>
        <v>321165</v>
      </c>
      <c r="R790" s="339"/>
      <c r="S790" s="334">
        <f>SUM(S784:S789)</f>
        <v>176009</v>
      </c>
      <c r="T790" s="339"/>
      <c r="U790" s="334">
        <f>SUM(U784:U789)</f>
        <v>303233</v>
      </c>
      <c r="V790" s="339"/>
      <c r="W790" s="334">
        <f>SUM(W784:W789)</f>
        <v>394850</v>
      </c>
      <c r="X790" s="339"/>
      <c r="Y790" s="334">
        <f>SUM(Y784:Y789)</f>
        <v>179776</v>
      </c>
      <c r="Z790" s="339"/>
      <c r="AA790" s="759">
        <f>SUM(AA784:AA789)</f>
        <v>182023</v>
      </c>
      <c r="AB790" s="339"/>
      <c r="AC790" s="334">
        <f>SUM(AC784:AC789)</f>
        <v>317047</v>
      </c>
      <c r="AD790" s="339"/>
      <c r="AE790" s="334">
        <f>SUM(AE784:AE789)</f>
        <v>179776</v>
      </c>
      <c r="AF790" s="339"/>
      <c r="AG790" s="334">
        <f>SUM(AG784:AG789)</f>
        <v>429215</v>
      </c>
      <c r="AH790" s="339"/>
      <c r="AI790" s="334">
        <f>SUM(AI784:AI789)</f>
        <v>0</v>
      </c>
    </row>
    <row r="792" spans="2:35">
      <c r="B792" s="444" t="s">
        <v>1024</v>
      </c>
    </row>
    <row r="793" spans="2:35" ht="12" thickBot="1">
      <c r="G793" s="335" t="s">
        <v>247</v>
      </c>
    </row>
    <row r="794" spans="2:35" ht="12" thickBot="1">
      <c r="B794" s="425"/>
      <c r="C794" s="274"/>
      <c r="D794" s="1463" t="s">
        <v>860</v>
      </c>
      <c r="E794" s="1464"/>
      <c r="F794" s="1463" t="s">
        <v>17</v>
      </c>
      <c r="G794" s="1464"/>
      <c r="H794" s="1463" t="s">
        <v>18</v>
      </c>
      <c r="I794" s="1464"/>
      <c r="J794" s="1463" t="s">
        <v>19</v>
      </c>
      <c r="K794" s="1464"/>
      <c r="L794" s="1463" t="s">
        <v>20</v>
      </c>
      <c r="M794" s="1464"/>
      <c r="N794" s="1463" t="s">
        <v>21</v>
      </c>
      <c r="O794" s="1464"/>
      <c r="P794" s="1463" t="s">
        <v>22</v>
      </c>
      <c r="Q794" s="1464"/>
      <c r="R794" s="1463" t="s">
        <v>23</v>
      </c>
      <c r="S794" s="1464"/>
      <c r="T794" s="1463" t="s">
        <v>24</v>
      </c>
      <c r="U794" s="1464"/>
      <c r="V794" s="1463" t="s">
        <v>25</v>
      </c>
      <c r="W794" s="1464"/>
      <c r="X794" s="1463" t="s">
        <v>26</v>
      </c>
      <c r="Y794" s="1464"/>
      <c r="Z794" s="1463" t="s">
        <v>27</v>
      </c>
      <c r="AA794" s="1464"/>
      <c r="AB794" s="1463" t="s">
        <v>28</v>
      </c>
      <c r="AC794" s="1464"/>
      <c r="AD794" s="1463" t="s">
        <v>29</v>
      </c>
      <c r="AE794" s="1464"/>
      <c r="AF794" s="1463" t="s">
        <v>30</v>
      </c>
      <c r="AG794" s="1464"/>
      <c r="AH794" s="1463" t="s">
        <v>31</v>
      </c>
      <c r="AI794" s="1464"/>
    </row>
    <row r="795" spans="2:35">
      <c r="B795" s="445" t="s">
        <v>294</v>
      </c>
      <c r="C795" s="251"/>
      <c r="D795" s="249"/>
      <c r="E795" s="250"/>
      <c r="F795" s="251"/>
      <c r="G795" s="250"/>
      <c r="H795" s="251"/>
      <c r="I795" s="250"/>
      <c r="J795" s="251"/>
      <c r="K795" s="250"/>
      <c r="L795" s="251"/>
      <c r="M795" s="250"/>
      <c r="N795" s="251"/>
      <c r="O795" s="250"/>
      <c r="P795" s="251"/>
      <c r="Q795" s="250"/>
      <c r="R795" s="251"/>
      <c r="S795" s="250"/>
      <c r="T795" s="251"/>
      <c r="U795" s="250"/>
      <c r="V795" s="427"/>
      <c r="W795" s="250"/>
      <c r="X795" s="251"/>
      <c r="Y795" s="250"/>
      <c r="Z795" s="251"/>
      <c r="AA795" s="250"/>
      <c r="AB795" s="251"/>
      <c r="AC795" s="250"/>
      <c r="AD795" s="251"/>
      <c r="AE795" s="250"/>
      <c r="AF795" s="251"/>
      <c r="AG795" s="250"/>
      <c r="AH795" s="251"/>
      <c r="AI795" s="250"/>
    </row>
    <row r="796" spans="2:35">
      <c r="B796" s="364" t="s">
        <v>295</v>
      </c>
      <c r="C796" s="244"/>
      <c r="D796" s="237"/>
      <c r="E796" s="243">
        <f t="shared" ref="E796:E801" si="60">G796+I796+K796+M796+O796+Q796+S796+U796+W796+Y796+AA796+AC796+AE796+AG796+AI796</f>
        <v>383519509</v>
      </c>
      <c r="F796" s="244"/>
      <c r="G796" s="243">
        <v>95959</v>
      </c>
      <c r="H796" s="244"/>
      <c r="I796" s="243">
        <v>835902</v>
      </c>
      <c r="J796" s="244"/>
      <c r="K796" s="243">
        <f>260632584+84976607</f>
        <v>345609191</v>
      </c>
      <c r="L796" s="244"/>
      <c r="M796" s="243">
        <v>935349</v>
      </c>
      <c r="N796" s="244"/>
      <c r="O796" s="243"/>
      <c r="P796" s="244"/>
      <c r="Q796" s="243">
        <v>1289393</v>
      </c>
      <c r="R796" s="244"/>
      <c r="S796" s="243"/>
      <c r="T796" s="244"/>
      <c r="U796" s="243"/>
      <c r="V796" s="341"/>
      <c r="W796" s="243"/>
      <c r="X796" s="244"/>
      <c r="Y796" s="243"/>
      <c r="Z796" s="244"/>
      <c r="AA796" s="243">
        <v>-375234</v>
      </c>
      <c r="AB796" s="244"/>
      <c r="AC796" s="243">
        <v>251308</v>
      </c>
      <c r="AD796" s="244"/>
      <c r="AE796" s="243">
        <v>34877641</v>
      </c>
      <c r="AF796" s="244"/>
      <c r="AG796" s="243"/>
      <c r="AH796" s="244"/>
      <c r="AI796" s="243"/>
    </row>
    <row r="797" spans="2:35">
      <c r="B797" s="364" t="s">
        <v>296</v>
      </c>
      <c r="C797" s="244"/>
      <c r="D797" s="237"/>
      <c r="E797" s="243">
        <f t="shared" si="60"/>
        <v>0</v>
      </c>
      <c r="F797" s="244"/>
      <c r="G797" s="243"/>
      <c r="H797" s="244"/>
      <c r="I797" s="243"/>
      <c r="J797" s="244"/>
      <c r="K797" s="243"/>
      <c r="L797" s="244"/>
      <c r="M797" s="243">
        <v>0</v>
      </c>
      <c r="N797" s="244"/>
      <c r="O797" s="243"/>
      <c r="P797" s="244"/>
      <c r="Q797" s="243">
        <v>0</v>
      </c>
      <c r="R797" s="244"/>
      <c r="S797" s="243"/>
      <c r="T797" s="244"/>
      <c r="U797" s="243"/>
      <c r="V797" s="341"/>
      <c r="W797" s="243"/>
      <c r="X797" s="244"/>
      <c r="Y797" s="243"/>
      <c r="Z797" s="244"/>
      <c r="AA797" s="243"/>
      <c r="AB797" s="244"/>
      <c r="AC797" s="243">
        <v>0</v>
      </c>
      <c r="AD797" s="244"/>
      <c r="AE797" s="243"/>
      <c r="AF797" s="244"/>
      <c r="AG797" s="243"/>
      <c r="AH797" s="244"/>
      <c r="AI797" s="243"/>
    </row>
    <row r="798" spans="2:35">
      <c r="B798" s="364" t="s">
        <v>297</v>
      </c>
      <c r="C798" s="244"/>
      <c r="D798" s="237"/>
      <c r="E798" s="243">
        <f t="shared" si="60"/>
        <v>686623</v>
      </c>
      <c r="F798" s="244"/>
      <c r="G798" s="243">
        <v>510335</v>
      </c>
      <c r="H798" s="244"/>
      <c r="I798" s="243"/>
      <c r="J798" s="244"/>
      <c r="K798" s="243"/>
      <c r="L798" s="244"/>
      <c r="M798" s="243">
        <v>0</v>
      </c>
      <c r="N798" s="244"/>
      <c r="O798" s="243"/>
      <c r="P798" s="244"/>
      <c r="Q798" s="243">
        <v>1130</v>
      </c>
      <c r="R798" s="244"/>
      <c r="S798" s="243"/>
      <c r="T798" s="244"/>
      <c r="U798" s="243"/>
      <c r="V798" s="341"/>
      <c r="W798" s="243"/>
      <c r="X798" s="244"/>
      <c r="Y798" s="243">
        <v>31000</v>
      </c>
      <c r="Z798" s="244"/>
      <c r="AA798" s="243">
        <v>68614</v>
      </c>
      <c r="AB798" s="244"/>
      <c r="AC798" s="243">
        <v>0</v>
      </c>
      <c r="AD798" s="244"/>
      <c r="AE798" s="243">
        <v>75544</v>
      </c>
      <c r="AF798" s="244"/>
      <c r="AG798" s="243"/>
      <c r="AH798" s="244"/>
      <c r="AI798" s="243"/>
    </row>
    <row r="799" spans="2:35">
      <c r="B799" s="364" t="s">
        <v>298</v>
      </c>
      <c r="C799" s="244"/>
      <c r="D799" s="237"/>
      <c r="E799" s="243">
        <f t="shared" si="60"/>
        <v>4092175</v>
      </c>
      <c r="F799" s="244"/>
      <c r="G799" s="243">
        <v>192175</v>
      </c>
      <c r="H799" s="244"/>
      <c r="I799" s="243"/>
      <c r="J799" s="244"/>
      <c r="K799" s="243"/>
      <c r="L799" s="244"/>
      <c r="M799" s="243">
        <v>0</v>
      </c>
      <c r="N799" s="244"/>
      <c r="O799" s="243"/>
      <c r="P799" s="244"/>
      <c r="Q799" s="243">
        <v>0</v>
      </c>
      <c r="R799" s="244"/>
      <c r="S799" s="243"/>
      <c r="T799" s="244"/>
      <c r="U799" s="243"/>
      <c r="V799" s="341"/>
      <c r="W799" s="243">
        <v>3900000</v>
      </c>
      <c r="X799" s="244"/>
      <c r="Y799" s="243"/>
      <c r="Z799" s="244"/>
      <c r="AA799" s="243"/>
      <c r="AB799" s="244"/>
      <c r="AC799" s="243">
        <v>0</v>
      </c>
      <c r="AD799" s="244"/>
      <c r="AE799" s="243"/>
      <c r="AF799" s="244"/>
      <c r="AG799" s="243"/>
      <c r="AH799" s="244"/>
      <c r="AI799" s="243"/>
    </row>
    <row r="800" spans="2:35">
      <c r="B800" s="364" t="s">
        <v>78</v>
      </c>
      <c r="C800" s="244"/>
      <c r="D800" s="237"/>
      <c r="E800" s="243">
        <f t="shared" si="60"/>
        <v>-1623230</v>
      </c>
      <c r="F800" s="244"/>
      <c r="G800" s="243"/>
      <c r="H800" s="244"/>
      <c r="I800" s="243"/>
      <c r="J800" s="244"/>
      <c r="K800" s="243"/>
      <c r="L800" s="244"/>
      <c r="M800" s="243">
        <v>-23</v>
      </c>
      <c r="N800" s="244"/>
      <c r="O800" s="243"/>
      <c r="P800" s="244"/>
      <c r="Q800" s="243">
        <v>-1247574</v>
      </c>
      <c r="R800" s="244"/>
      <c r="S800" s="243"/>
      <c r="T800" s="244"/>
      <c r="U800" s="243"/>
      <c r="V800" s="341"/>
      <c r="W800" s="243"/>
      <c r="X800" s="244"/>
      <c r="Y800" s="243"/>
      <c r="Z800" s="244"/>
      <c r="AA800" s="243"/>
      <c r="AB800" s="244"/>
      <c r="AC800" s="243">
        <v>-375633</v>
      </c>
      <c r="AD800" s="244"/>
      <c r="AE800" s="243"/>
      <c r="AF800" s="244"/>
      <c r="AG800" s="243"/>
      <c r="AH800" s="244"/>
      <c r="AI800" s="243"/>
    </row>
    <row r="801" spans="2:35">
      <c r="B801" s="364" t="s">
        <v>879</v>
      </c>
      <c r="C801" s="244"/>
      <c r="D801" s="237"/>
      <c r="E801" s="243">
        <f t="shared" si="60"/>
        <v>11098105</v>
      </c>
      <c r="F801" s="244"/>
      <c r="G801" s="243">
        <v>9246485</v>
      </c>
      <c r="H801" s="244"/>
      <c r="I801" s="243"/>
      <c r="J801" s="244"/>
      <c r="K801" s="243"/>
      <c r="L801" s="244"/>
      <c r="M801" s="243">
        <v>-6913</v>
      </c>
      <c r="N801" s="244"/>
      <c r="O801" s="243"/>
      <c r="P801" s="244"/>
      <c r="Q801" s="243">
        <v>983000</v>
      </c>
      <c r="R801" s="244"/>
      <c r="S801" s="243"/>
      <c r="T801" s="244"/>
      <c r="U801" s="243"/>
      <c r="V801" s="341"/>
      <c r="W801" s="243"/>
      <c r="X801" s="244"/>
      <c r="Y801" s="243"/>
      <c r="Z801" s="244"/>
      <c r="AA801" s="243"/>
      <c r="AB801" s="244"/>
      <c r="AC801" s="243"/>
      <c r="AD801" s="244"/>
      <c r="AE801" s="243"/>
      <c r="AF801" s="244"/>
      <c r="AG801" s="243">
        <v>875533</v>
      </c>
      <c r="AH801" s="244"/>
      <c r="AI801" s="243"/>
    </row>
    <row r="802" spans="2:35" ht="12" thickBot="1">
      <c r="B802" s="354" t="s">
        <v>859</v>
      </c>
      <c r="C802" s="244"/>
      <c r="D802" s="237"/>
      <c r="E802" s="246">
        <f>SUM(E796:E801)</f>
        <v>397773182</v>
      </c>
      <c r="F802" s="244"/>
      <c r="G802" s="246">
        <f>SUM(G796:G801)</f>
        <v>10044954</v>
      </c>
      <c r="H802" s="244"/>
      <c r="I802" s="246">
        <f>SUM(I796:I801)</f>
        <v>835902</v>
      </c>
      <c r="J802" s="244"/>
      <c r="K802" s="246">
        <f>SUM(K796:K801)</f>
        <v>345609191</v>
      </c>
      <c r="L802" s="244"/>
      <c r="M802" s="246">
        <f>SUM(M796:M801)</f>
        <v>928413</v>
      </c>
      <c r="N802" s="244"/>
      <c r="O802" s="246">
        <f>SUM(O796:O801)</f>
        <v>0</v>
      </c>
      <c r="P802" s="244"/>
      <c r="Q802" s="246">
        <f>SUM(Q796:Q801)</f>
        <v>1025949</v>
      </c>
      <c r="R802" s="244"/>
      <c r="S802" s="246">
        <f>SUM(S796:S801)</f>
        <v>0</v>
      </c>
      <c r="T802" s="244"/>
      <c r="U802" s="246">
        <f>SUM(U796:U801)</f>
        <v>0</v>
      </c>
      <c r="V802" s="341"/>
      <c r="W802" s="246">
        <f>SUM(W796:W801)</f>
        <v>3900000</v>
      </c>
      <c r="X802" s="244"/>
      <c r="Y802" s="246">
        <f>SUM(Y796:Y801)</f>
        <v>31000</v>
      </c>
      <c r="Z802" s="244"/>
      <c r="AA802" s="246">
        <f>SUM(AA796:AA801)</f>
        <v>-306620</v>
      </c>
      <c r="AB802" s="244"/>
      <c r="AC802" s="246">
        <f>SUM(AC796:AC801)</f>
        <v>-124325</v>
      </c>
      <c r="AD802" s="244"/>
      <c r="AE802" s="246">
        <f>SUM(AE796:AE801)</f>
        <v>34953185</v>
      </c>
      <c r="AF802" s="244"/>
      <c r="AG802" s="246">
        <f>SUM(AG796:AG801)</f>
        <v>875533</v>
      </c>
      <c r="AH802" s="244"/>
      <c r="AI802" s="246">
        <f>SUM(AI796:AI801)</f>
        <v>0</v>
      </c>
    </row>
    <row r="803" spans="2:35" ht="12" thickTop="1">
      <c r="B803" s="347" t="s">
        <v>299</v>
      </c>
      <c r="C803" s="244"/>
      <c r="D803" s="237"/>
      <c r="E803" s="243"/>
      <c r="F803" s="244"/>
      <c r="G803" s="243"/>
      <c r="H803" s="244"/>
      <c r="I803" s="243"/>
      <c r="J803" s="244"/>
      <c r="K803" s="243"/>
      <c r="L803" s="244"/>
      <c r="M803" s="243"/>
      <c r="N803" s="244"/>
      <c r="O803" s="243"/>
      <c r="P803" s="244"/>
      <c r="Q803" s="243"/>
      <c r="R803" s="244"/>
      <c r="S803" s="243"/>
      <c r="T803" s="244"/>
      <c r="U803" s="243"/>
      <c r="V803" s="341"/>
      <c r="W803" s="243"/>
      <c r="X803" s="244"/>
      <c r="Y803" s="243"/>
      <c r="Z803" s="244"/>
      <c r="AA803" s="243"/>
      <c r="AB803" s="244"/>
      <c r="AC803" s="243"/>
      <c r="AD803" s="244"/>
      <c r="AE803" s="243"/>
      <c r="AF803" s="244"/>
      <c r="AG803" s="243"/>
      <c r="AH803" s="244"/>
      <c r="AI803" s="243"/>
    </row>
    <row r="804" spans="2:35">
      <c r="B804" s="364" t="s">
        <v>300</v>
      </c>
      <c r="C804" s="244"/>
      <c r="D804" s="237"/>
      <c r="E804" s="243">
        <f>G804+I804+K804+M804+O804+Q804+S804+U804+W804+Y804+AA804+AC804+AE804+AG804+AI804</f>
        <v>349099374</v>
      </c>
      <c r="F804" s="244"/>
      <c r="G804" s="243">
        <v>202485</v>
      </c>
      <c r="H804" s="244"/>
      <c r="I804" s="243">
        <v>2443929</v>
      </c>
      <c r="J804" s="244"/>
      <c r="K804" s="243">
        <v>346417293</v>
      </c>
      <c r="L804" s="244"/>
      <c r="M804" s="243"/>
      <c r="N804" s="244"/>
      <c r="O804" s="243"/>
      <c r="P804" s="244"/>
      <c r="Q804" s="243"/>
      <c r="R804" s="244"/>
      <c r="S804" s="243"/>
      <c r="T804" s="244"/>
      <c r="U804" s="243"/>
      <c r="V804" s="341"/>
      <c r="W804" s="243"/>
      <c r="X804" s="244"/>
      <c r="Y804" s="243"/>
      <c r="Z804" s="244"/>
      <c r="AA804" s="243"/>
      <c r="AB804" s="244"/>
      <c r="AC804" s="243"/>
      <c r="AD804" s="244"/>
      <c r="AE804" s="243">
        <v>35667</v>
      </c>
      <c r="AF804" s="244"/>
      <c r="AG804" s="243"/>
      <c r="AH804" s="244"/>
      <c r="AI804" s="243"/>
    </row>
    <row r="805" spans="2:35">
      <c r="B805" s="364" t="s">
        <v>298</v>
      </c>
      <c r="C805" s="244"/>
      <c r="D805" s="237"/>
      <c r="E805" s="243">
        <f>G805+I805+K805+M805+O805+Q805+S805+U805+W805+Y805+AA805+AC805+AE805+AG805+AI805</f>
        <v>378803</v>
      </c>
      <c r="F805" s="244"/>
      <c r="G805" s="243">
        <v>314499</v>
      </c>
      <c r="H805" s="244"/>
      <c r="I805" s="243"/>
      <c r="J805" s="244"/>
      <c r="K805" s="243"/>
      <c r="L805" s="244"/>
      <c r="M805" s="243"/>
      <c r="N805" s="244"/>
      <c r="O805" s="243"/>
      <c r="P805" s="244"/>
      <c r="Q805" s="243"/>
      <c r="R805" s="244"/>
      <c r="S805" s="243"/>
      <c r="T805" s="244"/>
      <c r="U805" s="243"/>
      <c r="V805" s="341"/>
      <c r="W805" s="243"/>
      <c r="X805" s="244"/>
      <c r="Y805" s="243"/>
      <c r="Z805" s="244"/>
      <c r="AA805" s="243"/>
      <c r="AB805" s="244"/>
      <c r="AC805" s="243">
        <v>64304</v>
      </c>
      <c r="AD805" s="244"/>
      <c r="AE805" s="243"/>
      <c r="AF805" s="244"/>
      <c r="AG805" s="243"/>
      <c r="AH805" s="244"/>
      <c r="AI805" s="243"/>
    </row>
    <row r="806" spans="2:35">
      <c r="B806" s="364" t="s">
        <v>301</v>
      </c>
      <c r="C806" s="244"/>
      <c r="D806" s="237"/>
      <c r="E806" s="243">
        <f>G806+I806+K806+M806+O806+Q806+S806+U806+W806+Y806+AA806+AC806+AE806+AG806+AI806</f>
        <v>54417102</v>
      </c>
      <c r="F806" s="244"/>
      <c r="G806" s="243">
        <v>21912554</v>
      </c>
      <c r="H806" s="244"/>
      <c r="I806" s="243"/>
      <c r="J806" s="244"/>
      <c r="K806" s="243"/>
      <c r="L806" s="244"/>
      <c r="M806" s="243"/>
      <c r="N806" s="244"/>
      <c r="O806" s="243"/>
      <c r="P806" s="244"/>
      <c r="Q806" s="243">
        <v>728330</v>
      </c>
      <c r="R806" s="244"/>
      <c r="S806" s="243"/>
      <c r="T806" s="244"/>
      <c r="U806" s="243"/>
      <c r="V806" s="341"/>
      <c r="W806" s="243"/>
      <c r="X806" s="244"/>
      <c r="Y806" s="243"/>
      <c r="Z806" s="244"/>
      <c r="AA806" s="243">
        <v>9800000</v>
      </c>
      <c r="AB806" s="244"/>
      <c r="AC806" s="243"/>
      <c r="AD806" s="244"/>
      <c r="AE806" s="243"/>
      <c r="AF806" s="244"/>
      <c r="AG806" s="243">
        <v>21976218</v>
      </c>
      <c r="AH806" s="244"/>
      <c r="AI806" s="243"/>
    </row>
    <row r="807" spans="2:35" ht="12" thickBot="1">
      <c r="B807" s="354" t="s">
        <v>859</v>
      </c>
      <c r="C807" s="244"/>
      <c r="D807" s="237"/>
      <c r="E807" s="246">
        <f>SUM(E804:E806)</f>
        <v>403895279</v>
      </c>
      <c r="F807" s="244"/>
      <c r="G807" s="246">
        <f>SUM(G804:G806)</f>
        <v>22429538</v>
      </c>
      <c r="H807" s="244"/>
      <c r="I807" s="246">
        <f>SUM(I804:I806)</f>
        <v>2443929</v>
      </c>
      <c r="J807" s="244"/>
      <c r="K807" s="246">
        <f>SUM(K804:K806)</f>
        <v>346417293</v>
      </c>
      <c r="L807" s="244"/>
      <c r="M807" s="246">
        <f>SUM(M804:M806)</f>
        <v>0</v>
      </c>
      <c r="N807" s="244"/>
      <c r="O807" s="246">
        <f>SUM(O804:O806)</f>
        <v>0</v>
      </c>
      <c r="P807" s="244"/>
      <c r="Q807" s="246">
        <f>SUM(Q804:Q806)</f>
        <v>728330</v>
      </c>
      <c r="R807" s="244"/>
      <c r="S807" s="246">
        <f>SUM(S804:S806)</f>
        <v>0</v>
      </c>
      <c r="T807" s="244"/>
      <c r="U807" s="246">
        <f>SUM(U804:U806)</f>
        <v>0</v>
      </c>
      <c r="V807" s="341"/>
      <c r="W807" s="246">
        <f>SUM(W804:W806)</f>
        <v>0</v>
      </c>
      <c r="X807" s="244"/>
      <c r="Y807" s="246">
        <f>SUM(Y804:Y806)</f>
        <v>0</v>
      </c>
      <c r="Z807" s="244"/>
      <c r="AA807" s="246">
        <f>SUM(AA804:AA806)</f>
        <v>9800000</v>
      </c>
      <c r="AB807" s="244"/>
      <c r="AC807" s="246">
        <f>SUM(AC804:AC806)</f>
        <v>64304</v>
      </c>
      <c r="AD807" s="244"/>
      <c r="AE807" s="246">
        <f>SUM(AE804:AE806)</f>
        <v>35667</v>
      </c>
      <c r="AF807" s="244"/>
      <c r="AG807" s="246">
        <f>SUM(AG804:AG806)</f>
        <v>21976218</v>
      </c>
      <c r="AH807" s="244"/>
      <c r="AI807" s="246">
        <f>SUM(AI804:AI806)</f>
        <v>0</v>
      </c>
    </row>
    <row r="808" spans="2:35" ht="12.75" thickTop="1" thickBot="1">
      <c r="B808" s="354" t="s">
        <v>302</v>
      </c>
      <c r="C808" s="244"/>
      <c r="D808" s="237"/>
      <c r="E808" s="455">
        <f>+E802-E807</f>
        <v>-6122097</v>
      </c>
      <c r="F808" s="244"/>
      <c r="G808" s="455">
        <f>+G802-G807</f>
        <v>-12384584</v>
      </c>
      <c r="H808" s="244"/>
      <c r="I808" s="455">
        <f>+I802-I807</f>
        <v>-1608027</v>
      </c>
      <c r="J808" s="244"/>
      <c r="K808" s="455">
        <f>+K802-K807</f>
        <v>-808102</v>
      </c>
      <c r="L808" s="244"/>
      <c r="M808" s="455">
        <f>+M802-M807</f>
        <v>928413</v>
      </c>
      <c r="N808" s="244"/>
      <c r="O808" s="455">
        <f>+O802-O807</f>
        <v>0</v>
      </c>
      <c r="P808" s="244"/>
      <c r="Q808" s="455">
        <f>+Q802-Q807</f>
        <v>297619</v>
      </c>
      <c r="R808" s="244"/>
      <c r="S808" s="455">
        <f>+S802-S807</f>
        <v>0</v>
      </c>
      <c r="T808" s="244"/>
      <c r="U808" s="455">
        <f>+U802-U807</f>
        <v>0</v>
      </c>
      <c r="V808" s="341"/>
      <c r="W808" s="455">
        <f>+W802-W807</f>
        <v>3900000</v>
      </c>
      <c r="X808" s="244"/>
      <c r="Y808" s="455">
        <f>+Y802-Y807</f>
        <v>31000</v>
      </c>
      <c r="Z808" s="244"/>
      <c r="AA808" s="455">
        <f>+AA802-AA807</f>
        <v>-10106620</v>
      </c>
      <c r="AB808" s="244"/>
      <c r="AC808" s="455">
        <f>+AC802-AC807</f>
        <v>-188629</v>
      </c>
      <c r="AD808" s="244"/>
      <c r="AE808" s="455">
        <f>+AE802-AE807</f>
        <v>34917518</v>
      </c>
      <c r="AF808" s="244"/>
      <c r="AG808" s="455">
        <f>+AG802-AG807</f>
        <v>-21100685</v>
      </c>
      <c r="AH808" s="244"/>
      <c r="AI808" s="455">
        <f>+AI802-AI807</f>
        <v>0</v>
      </c>
    </row>
    <row r="809" spans="2:35" ht="12.75" thickTop="1" thickBot="1">
      <c r="B809" s="245"/>
      <c r="C809" s="248"/>
      <c r="D809" s="245"/>
      <c r="E809" s="247"/>
      <c r="F809" s="248"/>
      <c r="G809" s="247"/>
      <c r="H809" s="248"/>
      <c r="I809" s="247"/>
      <c r="J809" s="248"/>
      <c r="K809" s="247"/>
      <c r="L809" s="248"/>
      <c r="M809" s="247"/>
      <c r="N809" s="248"/>
      <c r="O809" s="247"/>
      <c r="P809" s="248"/>
      <c r="Q809" s="247"/>
      <c r="R809" s="248"/>
      <c r="S809" s="247"/>
      <c r="T809" s="248"/>
      <c r="U809" s="247"/>
      <c r="V809" s="384"/>
      <c r="W809" s="247"/>
      <c r="X809" s="248"/>
      <c r="Y809" s="247"/>
      <c r="Z809" s="248"/>
      <c r="AA809" s="247"/>
      <c r="AB809" s="248"/>
      <c r="AC809" s="247"/>
      <c r="AD809" s="248"/>
      <c r="AE809" s="247"/>
      <c r="AF809" s="248"/>
      <c r="AG809" s="247"/>
      <c r="AH809" s="248"/>
      <c r="AI809" s="247"/>
    </row>
    <row r="811" spans="2:35" ht="38.25" hidden="1" customHeight="1">
      <c r="B811" s="1475" t="s">
        <v>937</v>
      </c>
      <c r="C811" s="1475"/>
      <c r="D811" s="1475"/>
      <c r="E811" s="1475"/>
      <c r="F811" s="1475"/>
      <c r="G811" s="1475"/>
    </row>
    <row r="812" spans="2:35" hidden="1"/>
    <row r="813" spans="2:35" ht="39.75" hidden="1" customHeight="1">
      <c r="B813" s="1476" t="s">
        <v>938</v>
      </c>
      <c r="C813" s="1476"/>
      <c r="D813" s="1476"/>
      <c r="E813" s="1476"/>
      <c r="F813" s="1476"/>
      <c r="G813" s="1476"/>
    </row>
    <row r="814" spans="2:35" hidden="1"/>
    <row r="815" spans="2:35">
      <c r="B815" s="70" t="s">
        <v>559</v>
      </c>
      <c r="C815" s="495"/>
      <c r="D815" s="495"/>
      <c r="E815" s="495"/>
      <c r="F815" s="495"/>
      <c r="G815" s="495"/>
    </row>
    <row r="816" spans="2:35">
      <c r="B816" s="70"/>
      <c r="C816" s="495"/>
      <c r="D816" s="495"/>
      <c r="E816" s="495"/>
      <c r="F816" s="495"/>
      <c r="G816" s="495"/>
    </row>
    <row r="817" spans="2:35">
      <c r="B817" s="103" t="s">
        <v>570</v>
      </c>
      <c r="C817" s="495"/>
      <c r="D817" s="495"/>
      <c r="E817" s="495"/>
      <c r="F817" s="495"/>
      <c r="G817" s="495"/>
    </row>
    <row r="818" spans="2:35" ht="12" thickBot="1">
      <c r="B818" s="495"/>
      <c r="C818" s="495"/>
      <c r="D818" s="495"/>
      <c r="E818" s="495"/>
      <c r="F818" s="495"/>
      <c r="G818" s="1" t="s">
        <v>826</v>
      </c>
    </row>
    <row r="819" spans="2:35" ht="12" thickBot="1">
      <c r="B819" s="120"/>
      <c r="C819" s="496"/>
      <c r="D819" s="1473" t="s">
        <v>860</v>
      </c>
      <c r="E819" s="1474"/>
      <c r="F819" s="1473" t="s">
        <v>17</v>
      </c>
      <c r="G819" s="1474"/>
      <c r="H819" s="1463" t="s">
        <v>18</v>
      </c>
      <c r="I819" s="1464"/>
      <c r="J819" s="1463" t="s">
        <v>19</v>
      </c>
      <c r="K819" s="1464"/>
      <c r="L819" s="1463" t="s">
        <v>20</v>
      </c>
      <c r="M819" s="1464"/>
      <c r="N819" s="1463" t="s">
        <v>21</v>
      </c>
      <c r="O819" s="1464"/>
      <c r="P819" s="1463" t="s">
        <v>22</v>
      </c>
      <c r="Q819" s="1464"/>
      <c r="R819" s="1463" t="s">
        <v>23</v>
      </c>
      <c r="S819" s="1464"/>
      <c r="T819" s="1463" t="s">
        <v>24</v>
      </c>
      <c r="U819" s="1464"/>
      <c r="V819" s="1463" t="s">
        <v>25</v>
      </c>
      <c r="W819" s="1464"/>
      <c r="X819" s="1463" t="s">
        <v>26</v>
      </c>
      <c r="Y819" s="1464"/>
      <c r="Z819" s="1463" t="s">
        <v>27</v>
      </c>
      <c r="AA819" s="1464"/>
      <c r="AB819" s="1463" t="s">
        <v>28</v>
      </c>
      <c r="AC819" s="1464"/>
      <c r="AD819" s="1463" t="s">
        <v>29</v>
      </c>
      <c r="AE819" s="1464"/>
      <c r="AF819" s="1463" t="s">
        <v>30</v>
      </c>
      <c r="AG819" s="1464"/>
      <c r="AH819" s="1463" t="s">
        <v>31</v>
      </c>
      <c r="AI819" s="1464"/>
    </row>
    <row r="820" spans="2:35">
      <c r="B820" s="1457" t="s">
        <v>571</v>
      </c>
      <c r="C820" s="1458"/>
      <c r="D820" s="497"/>
      <c r="E820" s="250">
        <f t="shared" ref="E820:E828" si="61">G820+I820+K820+M820+O820+Q820+S820+U820+W820+Y820+AA820+AC820+AE820+AG820+AI820</f>
        <v>7393283</v>
      </c>
      <c r="F820" s="539"/>
      <c r="G820" s="250"/>
      <c r="H820" s="539"/>
      <c r="I820" s="250">
        <v>2216642</v>
      </c>
      <c r="J820" s="539"/>
      <c r="K820" s="250">
        <v>3905172</v>
      </c>
      <c r="L820" s="539"/>
      <c r="M820" s="250">
        <v>121892</v>
      </c>
      <c r="N820" s="539"/>
      <c r="O820" s="250"/>
      <c r="P820" s="539"/>
      <c r="Q820" s="250">
        <f>853804-1</f>
        <v>853803</v>
      </c>
      <c r="R820" s="539"/>
      <c r="S820" s="250"/>
      <c r="T820" s="539"/>
      <c r="U820" s="250"/>
      <c r="V820" s="539"/>
      <c r="W820" s="250">
        <v>295774</v>
      </c>
      <c r="X820" s="539"/>
      <c r="Y820" s="250"/>
      <c r="Z820" s="539"/>
      <c r="AA820" s="250"/>
      <c r="AB820" s="539"/>
      <c r="AC820" s="250"/>
      <c r="AD820" s="539"/>
      <c r="AE820" s="250"/>
      <c r="AF820" s="539"/>
      <c r="AG820" s="250"/>
      <c r="AH820" s="539"/>
      <c r="AI820" s="250"/>
    </row>
    <row r="821" spans="2:35">
      <c r="B821" s="1440" t="s">
        <v>572</v>
      </c>
      <c r="C821" s="1454"/>
      <c r="D821" s="498"/>
      <c r="E821" s="243">
        <f t="shared" si="61"/>
        <v>0</v>
      </c>
      <c r="F821" s="540"/>
      <c r="G821" s="243"/>
      <c r="H821" s="540"/>
      <c r="I821" s="243"/>
      <c r="J821" s="540"/>
      <c r="K821" s="243"/>
      <c r="L821" s="540"/>
      <c r="M821" s="243">
        <v>0</v>
      </c>
      <c r="N821" s="540"/>
      <c r="O821" s="243"/>
      <c r="P821" s="540"/>
      <c r="Q821" s="243"/>
      <c r="R821" s="540"/>
      <c r="S821" s="243"/>
      <c r="T821" s="540"/>
      <c r="U821" s="243"/>
      <c r="V821" s="540"/>
      <c r="W821" s="243"/>
      <c r="X821" s="540"/>
      <c r="Y821" s="243"/>
      <c r="Z821" s="540"/>
      <c r="AA821" s="243"/>
      <c r="AB821" s="540"/>
      <c r="AC821" s="243"/>
      <c r="AD821" s="540"/>
      <c r="AE821" s="243"/>
      <c r="AF821" s="540"/>
      <c r="AG821" s="243"/>
      <c r="AH821" s="540"/>
      <c r="AI821" s="243"/>
    </row>
    <row r="822" spans="2:35">
      <c r="B822" s="96" t="s">
        <v>573</v>
      </c>
      <c r="C822" s="499"/>
      <c r="D822" s="498"/>
      <c r="E822" s="243">
        <f t="shared" si="61"/>
        <v>-455858</v>
      </c>
      <c r="F822" s="540"/>
      <c r="G822" s="243">
        <v>-87192</v>
      </c>
      <c r="H822" s="540"/>
      <c r="I822" s="243"/>
      <c r="J822" s="540"/>
      <c r="K822" s="243">
        <v>-2921</v>
      </c>
      <c r="L822" s="540"/>
      <c r="M822" s="243">
        <v>-130536</v>
      </c>
      <c r="N822" s="540"/>
      <c r="O822" s="243"/>
      <c r="P822" s="540"/>
      <c r="Q822" s="243">
        <v>-82373</v>
      </c>
      <c r="R822" s="540"/>
      <c r="S822" s="243"/>
      <c r="T822" s="540"/>
      <c r="U822" s="243"/>
      <c r="V822" s="540"/>
      <c r="W822" s="243"/>
      <c r="X822" s="540"/>
      <c r="Y822" s="243"/>
      <c r="Z822" s="540"/>
      <c r="AA822" s="243">
        <v>-2999</v>
      </c>
      <c r="AB822" s="540"/>
      <c r="AC822" s="243"/>
      <c r="AD822" s="540"/>
      <c r="AE822" s="243">
        <v>-109038</v>
      </c>
      <c r="AF822" s="540"/>
      <c r="AG822" s="243">
        <v>-40799</v>
      </c>
      <c r="AH822" s="540"/>
      <c r="AI822" s="243"/>
    </row>
    <row r="823" spans="2:35">
      <c r="B823" s="96" t="s">
        <v>574</v>
      </c>
      <c r="C823" s="499"/>
      <c r="D823" s="498"/>
      <c r="E823" s="243">
        <f t="shared" si="61"/>
        <v>0</v>
      </c>
      <c r="F823" s="540"/>
      <c r="G823" s="243"/>
      <c r="H823" s="540"/>
      <c r="I823" s="243"/>
      <c r="J823" s="540"/>
      <c r="K823" s="243"/>
      <c r="L823" s="540"/>
      <c r="M823" s="243"/>
      <c r="N823" s="540"/>
      <c r="O823" s="243"/>
      <c r="P823" s="540"/>
      <c r="Q823" s="243"/>
      <c r="R823" s="540"/>
      <c r="S823" s="243"/>
      <c r="T823" s="540"/>
      <c r="U823" s="243"/>
      <c r="V823" s="540"/>
      <c r="W823" s="243"/>
      <c r="X823" s="540"/>
      <c r="Y823" s="243"/>
      <c r="Z823" s="540"/>
      <c r="AA823" s="243"/>
      <c r="AB823" s="540"/>
      <c r="AC823" s="243"/>
      <c r="AD823" s="540"/>
      <c r="AE823" s="243">
        <v>0</v>
      </c>
      <c r="AF823" s="540"/>
      <c r="AG823" s="243"/>
      <c r="AH823" s="540"/>
      <c r="AI823" s="243"/>
    </row>
    <row r="824" spans="2:35">
      <c r="B824" s="1440" t="s">
        <v>575</v>
      </c>
      <c r="C824" s="1454"/>
      <c r="D824" s="498"/>
      <c r="E824" s="243">
        <f t="shared" si="61"/>
        <v>0</v>
      </c>
      <c r="F824" s="540"/>
      <c r="G824" s="243"/>
      <c r="H824" s="540"/>
      <c r="I824" s="243"/>
      <c r="J824" s="540"/>
      <c r="K824" s="243"/>
      <c r="L824" s="540"/>
      <c r="M824" s="243"/>
      <c r="N824" s="540"/>
      <c r="O824" s="243"/>
      <c r="P824" s="540"/>
      <c r="Q824" s="243"/>
      <c r="R824" s="540"/>
      <c r="S824" s="243"/>
      <c r="T824" s="540"/>
      <c r="U824" s="243"/>
      <c r="V824" s="540"/>
      <c r="W824" s="243"/>
      <c r="X824" s="540"/>
      <c r="Y824" s="243"/>
      <c r="Z824" s="540"/>
      <c r="AA824" s="243"/>
      <c r="AB824" s="540"/>
      <c r="AC824" s="243"/>
      <c r="AD824" s="540"/>
      <c r="AE824" s="243">
        <v>0</v>
      </c>
      <c r="AF824" s="540"/>
      <c r="AG824" s="243"/>
      <c r="AH824" s="540"/>
      <c r="AI824" s="243"/>
    </row>
    <row r="825" spans="2:35">
      <c r="B825" s="96" t="s">
        <v>576</v>
      </c>
      <c r="C825" s="499"/>
      <c r="D825" s="498"/>
      <c r="E825" s="243">
        <f t="shared" si="61"/>
        <v>144631891</v>
      </c>
      <c r="F825" s="540"/>
      <c r="G825" s="243"/>
      <c r="H825" s="540"/>
      <c r="I825" s="243"/>
      <c r="J825" s="540"/>
      <c r="K825" s="243"/>
      <c r="L825" s="540"/>
      <c r="M825" s="243"/>
      <c r="N825" s="540"/>
      <c r="O825" s="243"/>
      <c r="P825" s="540"/>
      <c r="Q825" s="243"/>
      <c r="R825" s="540"/>
      <c r="S825" s="243"/>
      <c r="T825" s="540"/>
      <c r="U825" s="243"/>
      <c r="V825" s="540"/>
      <c r="W825" s="243"/>
      <c r="X825" s="540"/>
      <c r="Y825" s="243"/>
      <c r="Z825" s="540"/>
      <c r="AA825" s="243"/>
      <c r="AB825" s="540"/>
      <c r="AC825" s="243">
        <v>144631891</v>
      </c>
      <c r="AD825" s="540"/>
      <c r="AE825" s="243">
        <v>0</v>
      </c>
      <c r="AF825" s="540"/>
      <c r="AG825" s="243"/>
      <c r="AH825" s="540"/>
      <c r="AI825" s="243"/>
    </row>
    <row r="826" spans="2:35">
      <c r="B826" s="96" t="s">
        <v>90</v>
      </c>
      <c r="C826" s="499"/>
      <c r="D826" s="498"/>
      <c r="E826" s="243">
        <f t="shared" si="61"/>
        <v>-2216288</v>
      </c>
      <c r="F826" s="540"/>
      <c r="G826" s="243"/>
      <c r="H826" s="540"/>
      <c r="I826" s="243"/>
      <c r="J826" s="540"/>
      <c r="K826" s="243"/>
      <c r="L826" s="540"/>
      <c r="M826" s="243"/>
      <c r="N826" s="540"/>
      <c r="O826" s="243">
        <v>-2171444</v>
      </c>
      <c r="P826" s="540"/>
      <c r="Q826" s="243"/>
      <c r="R826" s="540"/>
      <c r="S826" s="243"/>
      <c r="T826" s="540"/>
      <c r="U826" s="243"/>
      <c r="V826" s="540"/>
      <c r="W826" s="243"/>
      <c r="X826" s="540"/>
      <c r="Y826" s="243"/>
      <c r="Z826" s="540"/>
      <c r="AA826" s="243"/>
      <c r="AB826" s="540"/>
      <c r="AC826" s="243"/>
      <c r="AD826" s="540"/>
      <c r="AE826" s="243"/>
      <c r="AF826" s="540"/>
      <c r="AG826" s="243"/>
      <c r="AH826" s="540"/>
      <c r="AI826" s="243">
        <v>-44844</v>
      </c>
    </row>
    <row r="827" spans="2:35">
      <c r="B827" s="96" t="s">
        <v>1025</v>
      </c>
      <c r="C827" s="499"/>
      <c r="D827" s="498"/>
      <c r="E827" s="243">
        <f t="shared" si="61"/>
        <v>-22206534</v>
      </c>
      <c r="F827" s="540"/>
      <c r="G827" s="243">
        <v>-2816306</v>
      </c>
      <c r="H827" s="540"/>
      <c r="I827" s="243">
        <v>-2148980</v>
      </c>
      <c r="J827" s="540"/>
      <c r="K827" s="243">
        <v>-875953</v>
      </c>
      <c r="L827" s="540"/>
      <c r="M827" s="243"/>
      <c r="N827" s="540"/>
      <c r="O827" s="243"/>
      <c r="P827" s="540"/>
      <c r="Q827" s="243">
        <v>-7082904</v>
      </c>
      <c r="R827" s="540"/>
      <c r="S827" s="243"/>
      <c r="T827" s="540"/>
      <c r="U827" s="243">
        <v>-15000</v>
      </c>
      <c r="V827" s="540"/>
      <c r="W827" s="243"/>
      <c r="X827" s="540"/>
      <c r="Y827" s="243">
        <v>-112516</v>
      </c>
      <c r="Z827" s="540"/>
      <c r="AA827" s="243">
        <v>-10333</v>
      </c>
      <c r="AB827" s="540"/>
      <c r="AC827" s="243">
        <v>-6761719</v>
      </c>
      <c r="AD827" s="540"/>
      <c r="AE827" s="243">
        <v>-1250413</v>
      </c>
      <c r="AF827" s="540"/>
      <c r="AG827" s="243">
        <f>-74015742+57373515+15509817</f>
        <v>-1132410</v>
      </c>
      <c r="AH827" s="540"/>
      <c r="AI827" s="243"/>
    </row>
    <row r="828" spans="2:35" ht="12" thickBot="1">
      <c r="B828" s="96" t="s">
        <v>91</v>
      </c>
      <c r="C828" s="499"/>
      <c r="D828" s="498"/>
      <c r="E828" s="247">
        <f t="shared" si="61"/>
        <v>0</v>
      </c>
      <c r="F828" s="540"/>
      <c r="G828" s="247"/>
      <c r="H828" s="540"/>
      <c r="I828" s="247"/>
      <c r="J828" s="540"/>
      <c r="K828" s="247"/>
      <c r="L828" s="540"/>
      <c r="M828" s="247"/>
      <c r="N828" s="540"/>
      <c r="O828" s="247"/>
      <c r="P828" s="540"/>
      <c r="Q828" s="247"/>
      <c r="R828" s="540"/>
      <c r="S828" s="247"/>
      <c r="T828" s="540"/>
      <c r="U828" s="247"/>
      <c r="V828" s="540"/>
      <c r="W828" s="247"/>
      <c r="X828" s="540"/>
      <c r="Y828" s="247"/>
      <c r="Z828" s="540"/>
      <c r="AA828" s="247"/>
      <c r="AB828" s="540"/>
      <c r="AC828" s="247"/>
      <c r="AD828" s="540"/>
      <c r="AE828" s="247"/>
      <c r="AF828" s="540"/>
      <c r="AG828" s="247"/>
      <c r="AH828" s="540"/>
      <c r="AI828" s="247"/>
    </row>
    <row r="829" spans="2:35" ht="12" thickBot="1">
      <c r="B829" s="500"/>
      <c r="C829" s="501"/>
      <c r="D829" s="502"/>
      <c r="E829" s="503">
        <f>SUM(E820:E828)</f>
        <v>127146494</v>
      </c>
      <c r="F829" s="504"/>
      <c r="G829" s="503">
        <f>SUM(G820:G828)</f>
        <v>-2903498</v>
      </c>
      <c r="H829" s="541"/>
      <c r="I829" s="503">
        <f>SUM(I820:I828)</f>
        <v>67662</v>
      </c>
      <c r="J829" s="541"/>
      <c r="K829" s="503">
        <f>SUM(K820:K828)</f>
        <v>3026298</v>
      </c>
      <c r="L829" s="541"/>
      <c r="M829" s="503">
        <f>SUM(M820:M828)</f>
        <v>-8644</v>
      </c>
      <c r="N829" s="541"/>
      <c r="O829" s="503">
        <f>SUM(O820:O828)</f>
        <v>-2171444</v>
      </c>
      <c r="P829" s="541"/>
      <c r="Q829" s="503">
        <f>SUM(Q820:Q828)</f>
        <v>-6311474</v>
      </c>
      <c r="R829" s="541"/>
      <c r="S829" s="503">
        <f>SUM(S820:S828)</f>
        <v>0</v>
      </c>
      <c r="T829" s="541"/>
      <c r="U829" s="503">
        <f>SUM(U820:U828)</f>
        <v>-15000</v>
      </c>
      <c r="V829" s="541"/>
      <c r="W829" s="503">
        <f>SUM(W820:W828)</f>
        <v>295774</v>
      </c>
      <c r="X829" s="541"/>
      <c r="Y829" s="503">
        <f>SUM(Y820:Y828)</f>
        <v>-112516</v>
      </c>
      <c r="Z829" s="541"/>
      <c r="AA829" s="503">
        <f>SUM(AA820:AA828)</f>
        <v>-13332</v>
      </c>
      <c r="AB829" s="541"/>
      <c r="AC829" s="503">
        <f>SUM(AC820:AC828)</f>
        <v>137870172</v>
      </c>
      <c r="AD829" s="541"/>
      <c r="AE829" s="503">
        <f>SUM(AE820:AE828)</f>
        <v>-1359451</v>
      </c>
      <c r="AF829" s="541"/>
      <c r="AG829" s="503">
        <f>SUM(AG820:AG828)</f>
        <v>-1173209</v>
      </c>
      <c r="AH829" s="541"/>
      <c r="AI829" s="503">
        <f>SUM(AI820:AI828)</f>
        <v>-44844</v>
      </c>
    </row>
    <row r="830" spans="2:35">
      <c r="B830" s="70"/>
      <c r="C830" s="495"/>
      <c r="D830" s="495"/>
      <c r="E830" s="495"/>
      <c r="F830" s="495"/>
      <c r="G830" s="495"/>
    </row>
    <row r="831" spans="2:35" ht="22.5" hidden="1" customHeight="1">
      <c r="B831" s="1470" t="s">
        <v>577</v>
      </c>
      <c r="C831" s="1470"/>
      <c r="D831" s="1470"/>
      <c r="E831" s="1470"/>
      <c r="F831" s="1470"/>
      <c r="G831" s="1470"/>
    </row>
    <row r="832" spans="2:35" hidden="1">
      <c r="B832" s="1470"/>
      <c r="C832" s="1470"/>
      <c r="D832" s="1470"/>
      <c r="E832" s="1470"/>
      <c r="F832" s="1470"/>
      <c r="G832" s="1470"/>
    </row>
    <row r="833" spans="2:35" hidden="1">
      <c r="B833" s="1470"/>
      <c r="C833" s="1470"/>
      <c r="D833" s="1470"/>
      <c r="E833" s="1470"/>
      <c r="F833" s="1470"/>
      <c r="G833" s="1470"/>
    </row>
    <row r="834" spans="2:35" hidden="1">
      <c r="B834" s="1470"/>
      <c r="C834" s="1470"/>
      <c r="D834" s="1470"/>
      <c r="E834" s="1470"/>
      <c r="F834" s="1470"/>
      <c r="G834" s="1470"/>
    </row>
    <row r="835" spans="2:35" hidden="1"/>
    <row r="836" spans="2:35" hidden="1"/>
    <row r="837" spans="2:35" hidden="1">
      <c r="B837" s="1471" t="s">
        <v>303</v>
      </c>
      <c r="C837" s="1471"/>
      <c r="D837" s="1471"/>
      <c r="E837" s="1471"/>
      <c r="F837" s="1471"/>
      <c r="G837" s="1471"/>
    </row>
    <row r="838" spans="2:35" hidden="1"/>
    <row r="839" spans="2:35" ht="29.25" hidden="1" customHeight="1">
      <c r="B839" s="1472" t="s">
        <v>304</v>
      </c>
      <c r="C839" s="1472"/>
      <c r="D839" s="1472"/>
      <c r="E839" s="1472"/>
      <c r="F839" s="1472"/>
      <c r="G839" s="1472"/>
    </row>
    <row r="840" spans="2:35" hidden="1"/>
    <row r="841" spans="2:35" hidden="1">
      <c r="B841" s="1472" t="s">
        <v>434</v>
      </c>
      <c r="C841" s="1472"/>
      <c r="D841" s="1472"/>
      <c r="E841" s="1472"/>
      <c r="F841" s="1472"/>
      <c r="G841" s="1472"/>
    </row>
    <row r="842" spans="2:35" hidden="1"/>
    <row r="843" spans="2:35">
      <c r="B843" s="697" t="s">
        <v>1026</v>
      </c>
    </row>
    <row r="844" spans="2:35">
      <c r="B844" s="318" t="s">
        <v>1027</v>
      </c>
    </row>
    <row r="845" spans="2:35" ht="12" thickBot="1">
      <c r="G845" s="335" t="s">
        <v>247</v>
      </c>
    </row>
    <row r="846" spans="2:35" ht="12" thickBot="1">
      <c r="B846" s="425"/>
      <c r="C846" s="274"/>
      <c r="D846" s="1463" t="s">
        <v>860</v>
      </c>
      <c r="E846" s="1464"/>
      <c r="F846" s="1463" t="s">
        <v>17</v>
      </c>
      <c r="G846" s="1464"/>
      <c r="H846" s="1463" t="s">
        <v>18</v>
      </c>
      <c r="I846" s="1464"/>
      <c r="J846" s="1463" t="s">
        <v>19</v>
      </c>
      <c r="K846" s="1464"/>
      <c r="L846" s="1463" t="s">
        <v>20</v>
      </c>
      <c r="M846" s="1464"/>
      <c r="N846" s="1463" t="s">
        <v>21</v>
      </c>
      <c r="O846" s="1464"/>
      <c r="P846" s="1463" t="s">
        <v>22</v>
      </c>
      <c r="Q846" s="1464"/>
      <c r="R846" s="1463" t="s">
        <v>23</v>
      </c>
      <c r="S846" s="1464"/>
      <c r="T846" s="1463" t="s">
        <v>24</v>
      </c>
      <c r="U846" s="1464"/>
      <c r="V846" s="1463" t="s">
        <v>25</v>
      </c>
      <c r="W846" s="1464"/>
      <c r="X846" s="1463" t="s">
        <v>26</v>
      </c>
      <c r="Y846" s="1464"/>
      <c r="Z846" s="1463" t="s">
        <v>27</v>
      </c>
      <c r="AA846" s="1464"/>
      <c r="AB846" s="1463" t="s">
        <v>28</v>
      </c>
      <c r="AC846" s="1464"/>
      <c r="AD846" s="1463" t="s">
        <v>29</v>
      </c>
      <c r="AE846" s="1464"/>
      <c r="AF846" s="1463" t="s">
        <v>30</v>
      </c>
      <c r="AG846" s="1464"/>
      <c r="AH846" s="1463" t="s">
        <v>31</v>
      </c>
      <c r="AI846" s="1464"/>
    </row>
    <row r="847" spans="2:35">
      <c r="B847" s="376" t="s">
        <v>436</v>
      </c>
      <c r="C847" s="251"/>
      <c r="D847" s="249"/>
      <c r="E847" s="250"/>
      <c r="F847" s="251"/>
      <c r="G847" s="250"/>
      <c r="H847" s="251"/>
      <c r="I847" s="250"/>
      <c r="J847" s="251"/>
      <c r="K847" s="250"/>
      <c r="L847" s="251"/>
      <c r="M847" s="250"/>
      <c r="N847" s="251"/>
      <c r="O847" s="250"/>
      <c r="P847" s="251"/>
      <c r="Q847" s="250"/>
      <c r="R847" s="251"/>
      <c r="S847" s="250"/>
      <c r="T847" s="251"/>
      <c r="U847" s="250"/>
      <c r="V847" s="427"/>
      <c r="W847" s="250"/>
      <c r="X847" s="251"/>
      <c r="Y847" s="250"/>
      <c r="Z847" s="251"/>
      <c r="AA847" s="250"/>
      <c r="AB847" s="251"/>
      <c r="AC847" s="250"/>
      <c r="AD847" s="251"/>
      <c r="AE847" s="250"/>
      <c r="AF847" s="251"/>
      <c r="AG847" s="250"/>
      <c r="AH847" s="251"/>
      <c r="AI847" s="250"/>
    </row>
    <row r="848" spans="2:35">
      <c r="B848" s="364" t="s">
        <v>437</v>
      </c>
      <c r="C848" s="244"/>
      <c r="D848" s="237"/>
      <c r="E848" s="243">
        <f>G848+I848+K848+M848+O848+Q848+S848+U848+W848+Y848+AA848+AC848+AE848+AG848+AI848</f>
        <v>201656187030</v>
      </c>
      <c r="F848" s="244"/>
      <c r="G848" s="243">
        <v>11398525441</v>
      </c>
      <c r="H848" s="244"/>
      <c r="I848" s="777">
        <v>7582747879</v>
      </c>
      <c r="J848" s="458"/>
      <c r="K848" s="777">
        <v>9719225002</v>
      </c>
      <c r="L848" s="458"/>
      <c r="M848" s="777">
        <v>19610819335</v>
      </c>
      <c r="N848" s="458"/>
      <c r="O848" s="777"/>
      <c r="P848" s="458"/>
      <c r="Q848" s="777">
        <v>15175498601</v>
      </c>
      <c r="R848" s="458"/>
      <c r="S848" s="777">
        <v>715368975</v>
      </c>
      <c r="T848" s="458"/>
      <c r="U848" s="777">
        <v>20104340911</v>
      </c>
      <c r="V848" s="459"/>
      <c r="W848" s="777">
        <v>22235875694</v>
      </c>
      <c r="X848" s="458"/>
      <c r="Y848" s="777">
        <v>951408434</v>
      </c>
      <c r="Z848" s="458"/>
      <c r="AA848" s="777">
        <v>35898637579</v>
      </c>
      <c r="AB848" s="458"/>
      <c r="AC848" s="777">
        <v>208100157</v>
      </c>
      <c r="AD848" s="458"/>
      <c r="AE848" s="777">
        <v>23409936258</v>
      </c>
      <c r="AF848" s="458"/>
      <c r="AG848" s="777">
        <v>34645702764</v>
      </c>
      <c r="AH848" s="458"/>
      <c r="AI848" s="777"/>
    </row>
    <row r="849" spans="2:35">
      <c r="B849" s="364" t="s">
        <v>438</v>
      </c>
      <c r="C849" s="244"/>
      <c r="D849" s="237"/>
      <c r="E849" s="243">
        <f>G849+I849+K849+M849+O849+Q849+S849+U849+W849+Y849+AA849+AC849+AE849+AG849+AI849</f>
        <v>0</v>
      </c>
      <c r="F849" s="244"/>
      <c r="G849" s="243"/>
      <c r="H849" s="244"/>
      <c r="I849" s="243"/>
      <c r="J849" s="244"/>
      <c r="K849" s="243"/>
      <c r="L849" s="244"/>
      <c r="M849" s="243"/>
      <c r="N849" s="244"/>
      <c r="O849" s="243"/>
      <c r="P849" s="244"/>
      <c r="Q849" s="243"/>
      <c r="R849" s="244"/>
      <c r="S849" s="243"/>
      <c r="T849" s="244"/>
      <c r="U849" s="243"/>
      <c r="V849" s="341"/>
      <c r="W849" s="243"/>
      <c r="X849" s="244"/>
      <c r="Y849" s="243"/>
      <c r="Z849" s="244"/>
      <c r="AA849" s="243"/>
      <c r="AB849" s="244"/>
      <c r="AC849" s="243"/>
      <c r="AD849" s="244"/>
      <c r="AE849" s="243"/>
      <c r="AF849" s="244"/>
      <c r="AG849" s="243"/>
      <c r="AH849" s="244"/>
      <c r="AI849" s="243"/>
    </row>
    <row r="850" spans="2:35">
      <c r="B850" s="364" t="s">
        <v>439</v>
      </c>
      <c r="C850" s="244"/>
      <c r="D850" s="237"/>
      <c r="E850" s="243">
        <f>G850+I850+K850+M850+O850+Q850+S850+U850+W850+Y850+AA850+AC850+AE850+AG850+AI850</f>
        <v>0</v>
      </c>
      <c r="F850" s="244"/>
      <c r="G850" s="243"/>
      <c r="H850" s="244"/>
      <c r="I850" s="243"/>
      <c r="J850" s="244"/>
      <c r="K850" s="243"/>
      <c r="L850" s="244"/>
      <c r="M850" s="243"/>
      <c r="N850" s="244"/>
      <c r="O850" s="243"/>
      <c r="P850" s="244"/>
      <c r="Q850" s="243"/>
      <c r="R850" s="244"/>
      <c r="S850" s="243"/>
      <c r="T850" s="244"/>
      <c r="U850" s="243"/>
      <c r="V850" s="341"/>
      <c r="W850" s="243"/>
      <c r="X850" s="244"/>
      <c r="Y850" s="243"/>
      <c r="Z850" s="244"/>
      <c r="AA850" s="243"/>
      <c r="AB850" s="244"/>
      <c r="AC850" s="243"/>
      <c r="AD850" s="244"/>
      <c r="AE850" s="243"/>
      <c r="AF850" s="244"/>
      <c r="AG850" s="243"/>
      <c r="AH850" s="244"/>
      <c r="AI850" s="243"/>
    </row>
    <row r="851" spans="2:35">
      <c r="B851" s="364" t="s">
        <v>440</v>
      </c>
      <c r="C851" s="244"/>
      <c r="D851" s="237"/>
      <c r="E851" s="243">
        <f>G851+I851+K851+M851+O851+Q851+S851+U851+W851+Y851+AA851+AC851+AE851+AG851+AI851</f>
        <v>0</v>
      </c>
      <c r="F851" s="244"/>
      <c r="G851" s="243"/>
      <c r="H851" s="244"/>
      <c r="I851" s="243"/>
      <c r="J851" s="244"/>
      <c r="K851" s="243"/>
      <c r="L851" s="244"/>
      <c r="M851" s="243"/>
      <c r="N851" s="244"/>
      <c r="O851" s="243"/>
      <c r="P851" s="244"/>
      <c r="Q851" s="243"/>
      <c r="R851" s="244"/>
      <c r="S851" s="243"/>
      <c r="T851" s="244"/>
      <c r="U851" s="243"/>
      <c r="V851" s="341"/>
      <c r="W851" s="243"/>
      <c r="X851" s="244"/>
      <c r="Y851" s="243"/>
      <c r="Z851" s="244"/>
      <c r="AA851" s="243"/>
      <c r="AB851" s="244"/>
      <c r="AC851" s="243"/>
      <c r="AD851" s="244"/>
      <c r="AE851" s="243"/>
      <c r="AF851" s="244"/>
      <c r="AG851" s="243"/>
      <c r="AH851" s="244"/>
      <c r="AI851" s="243"/>
    </row>
    <row r="852" spans="2:35" ht="12" thickBot="1">
      <c r="B852" s="784" t="s">
        <v>860</v>
      </c>
      <c r="C852" s="244"/>
      <c r="D852" s="237"/>
      <c r="E852" s="246">
        <f>SUM(E847:E851)</f>
        <v>201656187030</v>
      </c>
      <c r="F852" s="244"/>
      <c r="G852" s="246">
        <f>SUM(G847:G851)</f>
        <v>11398525441</v>
      </c>
      <c r="H852" s="244"/>
      <c r="I852" s="246">
        <f>SUM(I847:I851)</f>
        <v>7582747879</v>
      </c>
      <c r="J852" s="244"/>
      <c r="K852" s="246">
        <f>SUM(K847:K851)</f>
        <v>9719225002</v>
      </c>
      <c r="L852" s="244"/>
      <c r="M852" s="246">
        <f>SUM(M847:M851)</f>
        <v>19610819335</v>
      </c>
      <c r="N852" s="244"/>
      <c r="O852" s="246">
        <f>SUM(O847:O851)</f>
        <v>0</v>
      </c>
      <c r="P852" s="244"/>
      <c r="Q852" s="246">
        <f>SUM(Q847:Q851)</f>
        <v>15175498601</v>
      </c>
      <c r="R852" s="244"/>
      <c r="S852" s="246">
        <f>SUM(S847:S851)</f>
        <v>715368975</v>
      </c>
      <c r="T852" s="244"/>
      <c r="U852" s="246">
        <f>SUM(U847:U851)</f>
        <v>20104340911</v>
      </c>
      <c r="V852" s="341"/>
      <c r="W852" s="246">
        <f>SUM(W847:W851)</f>
        <v>22235875694</v>
      </c>
      <c r="X852" s="244"/>
      <c r="Y852" s="246">
        <f>SUM(Y847:Y851)</f>
        <v>951408434</v>
      </c>
      <c r="Z852" s="244"/>
      <c r="AA852" s="246">
        <f>SUM(AA847:AA851)</f>
        <v>35898637579</v>
      </c>
      <c r="AB852" s="244"/>
      <c r="AC852" s="246">
        <f>SUM(AC847:AC851)</f>
        <v>208100157</v>
      </c>
      <c r="AD852" s="244"/>
      <c r="AE852" s="246">
        <f>SUM(AE847:AE851)</f>
        <v>23409936258</v>
      </c>
      <c r="AF852" s="244"/>
      <c r="AG852" s="246">
        <f>SUM(AG847:AG851)</f>
        <v>34645702764</v>
      </c>
      <c r="AH852" s="244"/>
      <c r="AI852" s="246">
        <f>SUM(AI847:AI851)</f>
        <v>0</v>
      </c>
    </row>
    <row r="853" spans="2:35" ht="12.75" thickTop="1" thickBot="1">
      <c r="B853" s="245"/>
      <c r="C853" s="248"/>
      <c r="D853" s="245"/>
      <c r="E853" s="247"/>
      <c r="F853" s="248"/>
      <c r="G853" s="247"/>
      <c r="H853" s="248"/>
      <c r="I853" s="247"/>
      <c r="J853" s="248"/>
      <c r="K853" s="247"/>
      <c r="L853" s="248"/>
      <c r="M853" s="247"/>
      <c r="N853" s="248"/>
      <c r="O853" s="247"/>
      <c r="P853" s="248"/>
      <c r="Q853" s="247"/>
      <c r="R853" s="248"/>
      <c r="S853" s="247"/>
      <c r="T853" s="248"/>
      <c r="U853" s="247"/>
      <c r="V853" s="384"/>
      <c r="W853" s="247"/>
      <c r="X853" s="248"/>
      <c r="Y853" s="247"/>
      <c r="Z853" s="248"/>
      <c r="AA853" s="247"/>
      <c r="AB853" s="248"/>
      <c r="AC853" s="247"/>
      <c r="AD853" s="248"/>
      <c r="AE853" s="247"/>
      <c r="AF853" s="248"/>
      <c r="AG853" s="247"/>
      <c r="AH853" s="248"/>
      <c r="AI853" s="247"/>
    </row>
    <row r="855" spans="2:35">
      <c r="B855" s="788" t="s">
        <v>1028</v>
      </c>
    </row>
    <row r="856" spans="2:35" ht="12" thickBot="1">
      <c r="G856" s="335" t="s">
        <v>247</v>
      </c>
    </row>
    <row r="857" spans="2:35" ht="12" thickBot="1">
      <c r="B857" s="456" t="s">
        <v>442</v>
      </c>
      <c r="C857" s="274"/>
      <c r="D857" s="1463" t="s">
        <v>860</v>
      </c>
      <c r="E857" s="1464"/>
      <c r="F857" s="1463" t="s">
        <v>17</v>
      </c>
      <c r="G857" s="1464"/>
      <c r="H857" s="1463" t="s">
        <v>18</v>
      </c>
      <c r="I857" s="1464"/>
      <c r="J857" s="1463" t="s">
        <v>19</v>
      </c>
      <c r="K857" s="1464"/>
      <c r="L857" s="1463" t="s">
        <v>20</v>
      </c>
      <c r="M857" s="1464"/>
      <c r="N857" s="1463" t="s">
        <v>21</v>
      </c>
      <c r="O857" s="1464"/>
      <c r="P857" s="1463" t="s">
        <v>22</v>
      </c>
      <c r="Q857" s="1464"/>
      <c r="R857" s="1463" t="s">
        <v>23</v>
      </c>
      <c r="S857" s="1464"/>
      <c r="T857" s="1463" t="s">
        <v>24</v>
      </c>
      <c r="U857" s="1464"/>
      <c r="V857" s="1463" t="s">
        <v>25</v>
      </c>
      <c r="W857" s="1464"/>
      <c r="X857" s="1463" t="s">
        <v>26</v>
      </c>
      <c r="Y857" s="1464"/>
      <c r="Z857" s="1463" t="s">
        <v>27</v>
      </c>
      <c r="AA857" s="1464"/>
      <c r="AB857" s="1463" t="s">
        <v>28</v>
      </c>
      <c r="AC857" s="1464"/>
      <c r="AD857" s="1463" t="s">
        <v>29</v>
      </c>
      <c r="AE857" s="1464"/>
      <c r="AF857" s="1463" t="s">
        <v>30</v>
      </c>
      <c r="AG857" s="1464"/>
      <c r="AH857" s="1463" t="s">
        <v>31</v>
      </c>
      <c r="AI857" s="1464"/>
    </row>
    <row r="858" spans="2:35">
      <c r="B858" s="452" t="s">
        <v>443</v>
      </c>
      <c r="C858" s="251"/>
      <c r="D858" s="249"/>
      <c r="E858" s="250">
        <f t="shared" ref="E858:E870" si="62">G858+I858+K858+M858+O858+Q858+S858+U858+W858+Y858+AA858+AC858+AE858+AG858+AI858</f>
        <v>0</v>
      </c>
      <c r="F858" s="251"/>
      <c r="G858" s="250"/>
      <c r="H858" s="251"/>
      <c r="I858" s="250"/>
      <c r="J858" s="251"/>
      <c r="K858" s="250"/>
      <c r="L858" s="251"/>
      <c r="M858" s="250"/>
      <c r="N858" s="251"/>
      <c r="O858" s="250"/>
      <c r="P858" s="251"/>
      <c r="Q858" s="250"/>
      <c r="R858" s="251"/>
      <c r="S858" s="250"/>
      <c r="T858" s="251"/>
      <c r="U858" s="250"/>
      <c r="V858" s="427"/>
      <c r="W858" s="250"/>
      <c r="X858" s="251"/>
      <c r="Y858" s="250"/>
      <c r="Z858" s="251"/>
      <c r="AA858" s="250"/>
      <c r="AB858" s="251"/>
      <c r="AC858" s="250"/>
      <c r="AD858" s="251"/>
      <c r="AE858" s="250"/>
      <c r="AF858" s="251"/>
      <c r="AG858" s="250"/>
      <c r="AH858" s="251"/>
      <c r="AI858" s="250"/>
    </row>
    <row r="859" spans="2:35">
      <c r="B859" s="364" t="s">
        <v>444</v>
      </c>
      <c r="C859" s="244"/>
      <c r="D859" s="237"/>
      <c r="E859" s="243">
        <f t="shared" si="62"/>
        <v>0</v>
      </c>
      <c r="F859" s="244"/>
      <c r="G859" s="243"/>
      <c r="H859" s="244"/>
      <c r="I859" s="243"/>
      <c r="J859" s="244"/>
      <c r="K859" s="243"/>
      <c r="L859" s="244"/>
      <c r="M859" s="243"/>
      <c r="N859" s="244"/>
      <c r="O859" s="243"/>
      <c r="P859" s="244"/>
      <c r="Q859" s="243"/>
      <c r="R859" s="244"/>
      <c r="S859" s="243"/>
      <c r="T859" s="244"/>
      <c r="U859" s="243"/>
      <c r="V859" s="341"/>
      <c r="W859" s="243"/>
      <c r="X859" s="244"/>
      <c r="Y859" s="243"/>
      <c r="Z859" s="244"/>
      <c r="AA859" s="243"/>
      <c r="AB859" s="244"/>
      <c r="AC859" s="243"/>
      <c r="AD859" s="244"/>
      <c r="AE859" s="243"/>
      <c r="AF859" s="244"/>
      <c r="AG859" s="243"/>
      <c r="AH859" s="244"/>
      <c r="AI859" s="243"/>
    </row>
    <row r="860" spans="2:35">
      <c r="B860" s="364" t="s">
        <v>445</v>
      </c>
      <c r="C860" s="244"/>
      <c r="D860" s="237"/>
      <c r="E860" s="243">
        <f t="shared" si="62"/>
        <v>0</v>
      </c>
      <c r="F860" s="244"/>
      <c r="G860" s="243"/>
      <c r="H860" s="244"/>
      <c r="I860" s="243"/>
      <c r="J860" s="244"/>
      <c r="K860" s="243"/>
      <c r="L860" s="244"/>
      <c r="M860" s="243"/>
      <c r="N860" s="244"/>
      <c r="O860" s="243"/>
      <c r="P860" s="244"/>
      <c r="Q860" s="243"/>
      <c r="R860" s="244"/>
      <c r="S860" s="243"/>
      <c r="T860" s="244"/>
      <c r="U860" s="243"/>
      <c r="V860" s="341"/>
      <c r="W860" s="243"/>
      <c r="X860" s="244"/>
      <c r="Y860" s="243"/>
      <c r="Z860" s="244"/>
      <c r="AA860" s="243"/>
      <c r="AB860" s="244"/>
      <c r="AC860" s="243"/>
      <c r="AD860" s="244"/>
      <c r="AE860" s="243"/>
      <c r="AF860" s="244"/>
      <c r="AG860" s="243"/>
      <c r="AH860" s="244"/>
      <c r="AI860" s="243"/>
    </row>
    <row r="861" spans="2:35">
      <c r="B861" s="364" t="s">
        <v>298</v>
      </c>
      <c r="C861" s="244"/>
      <c r="D861" s="237"/>
      <c r="E861" s="243">
        <f t="shared" si="62"/>
        <v>773990220</v>
      </c>
      <c r="F861" s="244"/>
      <c r="G861" s="243">
        <v>336301295</v>
      </c>
      <c r="H861" s="244"/>
      <c r="I861" s="243">
        <v>88230076</v>
      </c>
      <c r="J861" s="244"/>
      <c r="K861" s="243">
        <v>534123</v>
      </c>
      <c r="L861" s="244"/>
      <c r="M861" s="243">
        <v>13574580</v>
      </c>
      <c r="N861" s="244"/>
      <c r="O861" s="243"/>
      <c r="P861" s="244"/>
      <c r="Q861" s="243">
        <v>67896001</v>
      </c>
      <c r="R861" s="244"/>
      <c r="S861" s="243"/>
      <c r="T861" s="244"/>
      <c r="U861" s="243"/>
      <c r="V861" s="341"/>
      <c r="W861" s="243"/>
      <c r="X861" s="244"/>
      <c r="Y861" s="243"/>
      <c r="Z861" s="244"/>
      <c r="AA861" s="243"/>
      <c r="AB861" s="244"/>
      <c r="AC861" s="243">
        <v>12557715</v>
      </c>
      <c r="AD861" s="244"/>
      <c r="AE861" s="243">
        <v>5810127</v>
      </c>
      <c r="AF861" s="244"/>
      <c r="AG861" s="243">
        <v>249086303</v>
      </c>
      <c r="AH861" s="244"/>
      <c r="AI861" s="243"/>
    </row>
    <row r="862" spans="2:35">
      <c r="B862" s="364" t="s">
        <v>446</v>
      </c>
      <c r="C862" s="244"/>
      <c r="D862" s="237"/>
      <c r="E862" s="243">
        <f t="shared" si="62"/>
        <v>4913959</v>
      </c>
      <c r="F862" s="244"/>
      <c r="G862" s="243">
        <v>4913959</v>
      </c>
      <c r="H862" s="244"/>
      <c r="I862" s="243"/>
      <c r="J862" s="244"/>
      <c r="K862" s="243"/>
      <c r="L862" s="244"/>
      <c r="M862" s="243"/>
      <c r="N862" s="244"/>
      <c r="O862" s="243"/>
      <c r="P862" s="244"/>
      <c r="Q862" s="243"/>
      <c r="R862" s="244"/>
      <c r="S862" s="243"/>
      <c r="T862" s="244"/>
      <c r="U862" s="243"/>
      <c r="V862" s="341"/>
      <c r="W862" s="243"/>
      <c r="X862" s="244"/>
      <c r="Y862" s="243"/>
      <c r="Z862" s="244"/>
      <c r="AA862" s="243"/>
      <c r="AB862" s="244"/>
      <c r="AC862" s="243"/>
      <c r="AD862" s="244"/>
      <c r="AE862" s="243"/>
      <c r="AF862" s="244"/>
      <c r="AG862" s="243"/>
      <c r="AH862" s="244"/>
      <c r="AI862" s="243"/>
    </row>
    <row r="863" spans="2:35">
      <c r="B863" s="364" t="s">
        <v>447</v>
      </c>
      <c r="C863" s="244"/>
      <c r="D863" s="237"/>
      <c r="E863" s="243">
        <f t="shared" si="62"/>
        <v>8858412</v>
      </c>
      <c r="F863" s="244"/>
      <c r="G863" s="243">
        <v>8858412</v>
      </c>
      <c r="H863" s="244"/>
      <c r="I863" s="243"/>
      <c r="J863" s="244"/>
      <c r="K863" s="243"/>
      <c r="L863" s="244"/>
      <c r="M863" s="243"/>
      <c r="N863" s="244"/>
      <c r="O863" s="243"/>
      <c r="P863" s="244"/>
      <c r="Q863" s="243"/>
      <c r="R863" s="244"/>
      <c r="S863" s="243"/>
      <c r="T863" s="244"/>
      <c r="U863" s="243"/>
      <c r="V863" s="341"/>
      <c r="W863" s="243"/>
      <c r="X863" s="244"/>
      <c r="Y863" s="243"/>
      <c r="Z863" s="244"/>
      <c r="AA863" s="243"/>
      <c r="AB863" s="244"/>
      <c r="AC863" s="243"/>
      <c r="AD863" s="244"/>
      <c r="AE863" s="243"/>
      <c r="AF863" s="244"/>
      <c r="AG863" s="243"/>
      <c r="AH863" s="244"/>
      <c r="AI863" s="243"/>
    </row>
    <row r="864" spans="2:35">
      <c r="B864" s="364" t="s">
        <v>448</v>
      </c>
      <c r="C864" s="244"/>
      <c r="D864" s="237"/>
      <c r="E864" s="243">
        <f t="shared" si="62"/>
        <v>38621406</v>
      </c>
      <c r="F864" s="244"/>
      <c r="G864" s="243">
        <v>25479742</v>
      </c>
      <c r="H864" s="244"/>
      <c r="I864" s="243"/>
      <c r="J864" s="244"/>
      <c r="K864" s="243"/>
      <c r="L864" s="244"/>
      <c r="M864" s="243">
        <v>1776703</v>
      </c>
      <c r="N864" s="244"/>
      <c r="O864" s="243"/>
      <c r="P864" s="244"/>
      <c r="Q864" s="243"/>
      <c r="R864" s="244"/>
      <c r="S864" s="243"/>
      <c r="T864" s="244"/>
      <c r="U864" s="243"/>
      <c r="V864" s="341"/>
      <c r="W864" s="243">
        <v>1440</v>
      </c>
      <c r="X864" s="244"/>
      <c r="Y864" s="243"/>
      <c r="Z864" s="244"/>
      <c r="AA864" s="243">
        <v>11363521</v>
      </c>
      <c r="AB864" s="244"/>
      <c r="AC864" s="243"/>
      <c r="AD864" s="244"/>
      <c r="AE864" s="243"/>
      <c r="AF864" s="244"/>
      <c r="AG864" s="243"/>
      <c r="AH864" s="244"/>
      <c r="AI864" s="243"/>
    </row>
    <row r="865" spans="2:35">
      <c r="B865" s="364" t="s">
        <v>449</v>
      </c>
      <c r="C865" s="244"/>
      <c r="D865" s="237"/>
      <c r="E865" s="243">
        <f t="shared" si="62"/>
        <v>2592005</v>
      </c>
      <c r="F865" s="244"/>
      <c r="G865" s="243">
        <v>2078385</v>
      </c>
      <c r="H865" s="244"/>
      <c r="I865" s="243"/>
      <c r="J865" s="244"/>
      <c r="K865" s="243"/>
      <c r="L865" s="244"/>
      <c r="M865" s="243"/>
      <c r="N865" s="244"/>
      <c r="O865" s="243"/>
      <c r="P865" s="244"/>
      <c r="Q865" s="243"/>
      <c r="R865" s="244"/>
      <c r="S865" s="243"/>
      <c r="T865" s="244"/>
      <c r="U865" s="243"/>
      <c r="V865" s="341"/>
      <c r="W865" s="243"/>
      <c r="X865" s="244"/>
      <c r="Y865" s="243"/>
      <c r="Z865" s="244"/>
      <c r="AA865" s="243">
        <v>513620</v>
      </c>
      <c r="AB865" s="244"/>
      <c r="AC865" s="243"/>
      <c r="AD865" s="244"/>
      <c r="AE865" s="243"/>
      <c r="AF865" s="244"/>
      <c r="AG865" s="243"/>
      <c r="AH865" s="244"/>
      <c r="AI865" s="243"/>
    </row>
    <row r="866" spans="2:35">
      <c r="B866" s="364" t="s">
        <v>450</v>
      </c>
      <c r="C866" s="244"/>
      <c r="D866" s="237"/>
      <c r="E866" s="243">
        <f t="shared" si="62"/>
        <v>225207</v>
      </c>
      <c r="F866" s="244"/>
      <c r="G866" s="243"/>
      <c r="H866" s="244"/>
      <c r="I866" s="243"/>
      <c r="J866" s="244"/>
      <c r="K866" s="243"/>
      <c r="L866" s="244"/>
      <c r="M866" s="243"/>
      <c r="N866" s="244"/>
      <c r="O866" s="243"/>
      <c r="P866" s="244"/>
      <c r="Q866" s="243"/>
      <c r="R866" s="244"/>
      <c r="S866" s="243"/>
      <c r="T866" s="244"/>
      <c r="U866" s="243"/>
      <c r="V866" s="341"/>
      <c r="W866" s="243"/>
      <c r="X866" s="244"/>
      <c r="Y866" s="243"/>
      <c r="Z866" s="244"/>
      <c r="AA866" s="243">
        <v>225207</v>
      </c>
      <c r="AB866" s="244"/>
      <c r="AC866" s="243"/>
      <c r="AD866" s="244"/>
      <c r="AE866" s="243"/>
      <c r="AF866" s="244"/>
      <c r="AG866" s="243"/>
      <c r="AH866" s="244"/>
      <c r="AI866" s="243"/>
    </row>
    <row r="867" spans="2:35">
      <c r="B867" s="364" t="s">
        <v>451</v>
      </c>
      <c r="C867" s="244"/>
      <c r="D867" s="237"/>
      <c r="E867" s="243">
        <f t="shared" si="62"/>
        <v>857753607</v>
      </c>
      <c r="F867" s="244"/>
      <c r="G867" s="243"/>
      <c r="H867" s="244"/>
      <c r="I867" s="243"/>
      <c r="J867" s="244"/>
      <c r="K867" s="243"/>
      <c r="L867" s="244"/>
      <c r="M867" s="243"/>
      <c r="N867" s="244"/>
      <c r="O867" s="243"/>
      <c r="P867" s="244"/>
      <c r="Q867" s="243"/>
      <c r="R867" s="244"/>
      <c r="S867" s="243"/>
      <c r="T867" s="244"/>
      <c r="U867" s="243">
        <v>857753607</v>
      </c>
      <c r="V867" s="341"/>
      <c r="W867" s="243"/>
      <c r="X867" s="244"/>
      <c r="Y867" s="243"/>
      <c r="Z867" s="244"/>
      <c r="AA867" s="243"/>
      <c r="AB867" s="244"/>
      <c r="AC867" s="243"/>
      <c r="AD867" s="244"/>
      <c r="AE867" s="243"/>
      <c r="AF867" s="244"/>
      <c r="AG867" s="243"/>
      <c r="AH867" s="244"/>
      <c r="AI867" s="243"/>
    </row>
    <row r="868" spans="2:35">
      <c r="B868" s="364" t="s">
        <v>452</v>
      </c>
      <c r="C868" s="244"/>
      <c r="D868" s="237"/>
      <c r="E868" s="243">
        <f t="shared" si="62"/>
        <v>0</v>
      </c>
      <c r="F868" s="244"/>
      <c r="G868" s="243"/>
      <c r="H868" s="244"/>
      <c r="I868" s="243"/>
      <c r="J868" s="244"/>
      <c r="K868" s="243"/>
      <c r="L868" s="244"/>
      <c r="M868" s="243"/>
      <c r="N868" s="244"/>
      <c r="O868" s="243"/>
      <c r="P868" s="244"/>
      <c r="Q868" s="243"/>
      <c r="R868" s="244"/>
      <c r="S868" s="243"/>
      <c r="T868" s="244"/>
      <c r="U868" s="243"/>
      <c r="V868" s="341"/>
      <c r="W868" s="243"/>
      <c r="X868" s="244"/>
      <c r="Y868" s="243"/>
      <c r="Z868" s="244"/>
      <c r="AA868" s="243"/>
      <c r="AB868" s="244"/>
      <c r="AC868" s="243"/>
      <c r="AD868" s="244"/>
      <c r="AE868" s="243"/>
      <c r="AF868" s="244"/>
      <c r="AG868" s="243"/>
      <c r="AH868" s="244"/>
      <c r="AI868" s="243"/>
    </row>
    <row r="869" spans="2:35">
      <c r="B869" s="364" t="s">
        <v>453</v>
      </c>
      <c r="C869" s="244"/>
      <c r="D869" s="237"/>
      <c r="E869" s="243">
        <f t="shared" si="62"/>
        <v>2449464</v>
      </c>
      <c r="F869" s="244"/>
      <c r="G869" s="243">
        <v>2449464</v>
      </c>
      <c r="H869" s="244"/>
      <c r="I869" s="243"/>
      <c r="J869" s="244"/>
      <c r="K869" s="243"/>
      <c r="L869" s="244"/>
      <c r="M869" s="243"/>
      <c r="N869" s="244"/>
      <c r="O869" s="243"/>
      <c r="P869" s="244"/>
      <c r="Q869" s="243"/>
      <c r="R869" s="244"/>
      <c r="S869" s="243"/>
      <c r="T869" s="244"/>
      <c r="U869" s="243"/>
      <c r="V869" s="341"/>
      <c r="W869" s="243"/>
      <c r="X869" s="244"/>
      <c r="Y869" s="243"/>
      <c r="Z869" s="244"/>
      <c r="AA869" s="243"/>
      <c r="AB869" s="244"/>
      <c r="AC869" s="243"/>
      <c r="AD869" s="244"/>
      <c r="AE869" s="243"/>
      <c r="AF869" s="244"/>
      <c r="AG869" s="243"/>
      <c r="AH869" s="244"/>
      <c r="AI869" s="243"/>
    </row>
    <row r="870" spans="2:35">
      <c r="B870" s="364" t="s">
        <v>454</v>
      </c>
      <c r="C870" s="244"/>
      <c r="D870" s="237"/>
      <c r="E870" s="243">
        <f t="shared" si="62"/>
        <v>0</v>
      </c>
      <c r="F870" s="244"/>
      <c r="G870" s="243"/>
      <c r="H870" s="244"/>
      <c r="I870" s="243"/>
      <c r="J870" s="244"/>
      <c r="K870" s="243"/>
      <c r="L870" s="244"/>
      <c r="M870" s="243"/>
      <c r="N870" s="244"/>
      <c r="O870" s="243"/>
      <c r="P870" s="244"/>
      <c r="Q870" s="243"/>
      <c r="R870" s="244"/>
      <c r="S870" s="243"/>
      <c r="T870" s="244"/>
      <c r="U870" s="243"/>
      <c r="V870" s="341"/>
      <c r="W870" s="243"/>
      <c r="X870" s="244"/>
      <c r="Y870" s="243"/>
      <c r="Z870" s="244"/>
      <c r="AA870" s="243"/>
      <c r="AB870" s="244"/>
      <c r="AC870" s="243"/>
      <c r="AD870" s="244"/>
      <c r="AE870" s="243"/>
      <c r="AF870" s="244"/>
      <c r="AG870" s="243"/>
      <c r="AH870" s="244"/>
      <c r="AI870" s="243"/>
    </row>
    <row r="871" spans="2:35">
      <c r="B871" s="364"/>
      <c r="C871" s="244"/>
      <c r="D871" s="237"/>
      <c r="E871" s="243"/>
      <c r="F871" s="244"/>
      <c r="G871" s="243"/>
      <c r="H871" s="244"/>
      <c r="I871" s="243"/>
      <c r="J871" s="244"/>
      <c r="K871" s="243"/>
      <c r="L871" s="244"/>
      <c r="M871" s="243"/>
      <c r="N871" s="244"/>
      <c r="O871" s="243"/>
      <c r="P871" s="244"/>
      <c r="Q871" s="243"/>
      <c r="R871" s="244"/>
      <c r="S871" s="243"/>
      <c r="T871" s="244"/>
      <c r="U871" s="243"/>
      <c r="V871" s="341"/>
      <c r="W871" s="243"/>
      <c r="X871" s="244"/>
      <c r="Y871" s="243"/>
      <c r="Z871" s="244"/>
      <c r="AA871" s="243"/>
      <c r="AB871" s="244"/>
      <c r="AC871" s="243"/>
      <c r="AD871" s="244"/>
      <c r="AE871" s="243"/>
      <c r="AF871" s="244"/>
      <c r="AG871" s="243"/>
      <c r="AH871" s="244"/>
      <c r="AI871" s="243"/>
    </row>
    <row r="872" spans="2:35" ht="12" thickBot="1">
      <c r="B872" s="784" t="s">
        <v>860</v>
      </c>
      <c r="C872" s="244"/>
      <c r="D872" s="237"/>
      <c r="E872" s="246">
        <f>SUM(E858:E871)</f>
        <v>1689404280</v>
      </c>
      <c r="F872" s="244"/>
      <c r="G872" s="246">
        <f>SUM(G858:G871)</f>
        <v>380081257</v>
      </c>
      <c r="H872" s="244"/>
      <c r="I872" s="246">
        <f>SUM(I858:I871)</f>
        <v>88230076</v>
      </c>
      <c r="J872" s="244"/>
      <c r="K872" s="246">
        <f>SUM(K858:K871)</f>
        <v>534123</v>
      </c>
      <c r="L872" s="244"/>
      <c r="M872" s="246">
        <f>SUM(M858:M871)</f>
        <v>15351283</v>
      </c>
      <c r="N872" s="244"/>
      <c r="O872" s="246">
        <f>SUM(O858:O871)</f>
        <v>0</v>
      </c>
      <c r="P872" s="244"/>
      <c r="Q872" s="246">
        <f>SUM(Q858:Q871)</f>
        <v>67896001</v>
      </c>
      <c r="R872" s="244"/>
      <c r="S872" s="246">
        <f>SUM(S858:S871)</f>
        <v>0</v>
      </c>
      <c r="T872" s="244"/>
      <c r="U872" s="246">
        <f>SUM(U858:U871)</f>
        <v>857753607</v>
      </c>
      <c r="V872" s="341"/>
      <c r="W872" s="246">
        <f>SUM(W858:W871)</f>
        <v>1440</v>
      </c>
      <c r="X872" s="244"/>
      <c r="Y872" s="246">
        <f>SUM(Y858:Y871)</f>
        <v>0</v>
      </c>
      <c r="Z872" s="244"/>
      <c r="AA872" s="246">
        <f>SUM(AA858:AA871)</f>
        <v>12102348</v>
      </c>
      <c r="AB872" s="244"/>
      <c r="AC872" s="246">
        <f>SUM(AC858:AC871)</f>
        <v>12557715</v>
      </c>
      <c r="AD872" s="244"/>
      <c r="AE872" s="246">
        <f>SUM(AE858:AE871)</f>
        <v>5810127</v>
      </c>
      <c r="AF872" s="244"/>
      <c r="AG872" s="246">
        <f>SUM(AG858:AG871)</f>
        <v>249086303</v>
      </c>
      <c r="AH872" s="244"/>
      <c r="AI872" s="246">
        <f>SUM(AI858:AI871)</f>
        <v>0</v>
      </c>
    </row>
    <row r="873" spans="2:35" ht="12.75" thickTop="1" thickBot="1">
      <c r="B873" s="245"/>
      <c r="C873" s="248"/>
      <c r="D873" s="245"/>
      <c r="E873" s="247"/>
      <c r="F873" s="248"/>
      <c r="G873" s="247"/>
      <c r="H873" s="248"/>
      <c r="I873" s="247"/>
      <c r="J873" s="248"/>
      <c r="K873" s="247"/>
      <c r="L873" s="248"/>
      <c r="M873" s="247"/>
      <c r="N873" s="248"/>
      <c r="O873" s="247"/>
      <c r="P873" s="248"/>
      <c r="Q873" s="247"/>
      <c r="R873" s="248"/>
      <c r="S873" s="247"/>
      <c r="T873" s="248"/>
      <c r="U873" s="247"/>
      <c r="V873" s="384"/>
      <c r="W873" s="247"/>
      <c r="X873" s="248"/>
      <c r="Y873" s="247"/>
      <c r="Z873" s="248"/>
      <c r="AA873" s="247"/>
      <c r="AB873" s="248"/>
      <c r="AC873" s="247"/>
      <c r="AD873" s="248"/>
      <c r="AE873" s="247"/>
      <c r="AF873" s="248"/>
      <c r="AG873" s="247"/>
      <c r="AH873" s="248"/>
      <c r="AI873" s="247"/>
    </row>
    <row r="875" spans="2:35">
      <c r="B875" s="419" t="s">
        <v>1029</v>
      </c>
    </row>
    <row r="876" spans="2:35" ht="12" thickBot="1">
      <c r="G876" s="335" t="s">
        <v>247</v>
      </c>
    </row>
    <row r="877" spans="2:35" ht="12" thickBot="1">
      <c r="B877" s="365" t="s">
        <v>455</v>
      </c>
      <c r="C877" s="274"/>
      <c r="D877" s="1463" t="s">
        <v>860</v>
      </c>
      <c r="E877" s="1464"/>
      <c r="F877" s="1463" t="s">
        <v>17</v>
      </c>
      <c r="G877" s="1464"/>
      <c r="H877" s="1463" t="s">
        <v>18</v>
      </c>
      <c r="I877" s="1464"/>
      <c r="J877" s="1463" t="s">
        <v>19</v>
      </c>
      <c r="K877" s="1464"/>
      <c r="L877" s="1463" t="s">
        <v>20</v>
      </c>
      <c r="M877" s="1464"/>
      <c r="N877" s="1463" t="s">
        <v>21</v>
      </c>
      <c r="O877" s="1464"/>
      <c r="P877" s="1463" t="s">
        <v>22</v>
      </c>
      <c r="Q877" s="1464"/>
      <c r="R877" s="1463" t="s">
        <v>23</v>
      </c>
      <c r="S877" s="1464"/>
      <c r="T877" s="1463" t="s">
        <v>24</v>
      </c>
      <c r="U877" s="1464"/>
      <c r="V877" s="1463" t="s">
        <v>25</v>
      </c>
      <c r="W877" s="1464"/>
      <c r="X877" s="1463" t="s">
        <v>26</v>
      </c>
      <c r="Y877" s="1464"/>
      <c r="Z877" s="1463" t="s">
        <v>27</v>
      </c>
      <c r="AA877" s="1464"/>
      <c r="AB877" s="1463" t="s">
        <v>28</v>
      </c>
      <c r="AC877" s="1464"/>
      <c r="AD877" s="1463" t="s">
        <v>29</v>
      </c>
      <c r="AE877" s="1464"/>
      <c r="AF877" s="1463" t="s">
        <v>30</v>
      </c>
      <c r="AG877" s="1464"/>
      <c r="AH877" s="1463" t="s">
        <v>31</v>
      </c>
      <c r="AI877" s="1464"/>
    </row>
    <row r="878" spans="2:35">
      <c r="B878" s="351" t="s">
        <v>456</v>
      </c>
      <c r="C878" s="251"/>
      <c r="D878" s="249"/>
      <c r="E878" s="250">
        <f>G878+I878+K878+M878+O878+Q878+S878+U878+W878+Y878+AA878+AC878+AE878+AG878+AI878</f>
        <v>29792321153</v>
      </c>
      <c r="F878" s="251"/>
      <c r="G878" s="250"/>
      <c r="H878" s="251"/>
      <c r="I878" s="250"/>
      <c r="J878" s="251"/>
      <c r="K878" s="250">
        <v>3888775873</v>
      </c>
      <c r="L878" s="251"/>
      <c r="M878" s="250"/>
      <c r="N878" s="251"/>
      <c r="O878" s="250"/>
      <c r="P878" s="251"/>
      <c r="Q878" s="250"/>
      <c r="R878" s="251"/>
      <c r="S878" s="250">
        <v>535122945</v>
      </c>
      <c r="T878" s="251"/>
      <c r="U878" s="250">
        <v>6695314818</v>
      </c>
      <c r="V878" s="427"/>
      <c r="W878" s="250">
        <v>1532500000</v>
      </c>
      <c r="X878" s="251"/>
      <c r="Y878" s="250"/>
      <c r="Z878" s="251"/>
      <c r="AA878" s="250">
        <v>17109320660</v>
      </c>
      <c r="AB878" s="251"/>
      <c r="AC878" s="250"/>
      <c r="AD878" s="251"/>
      <c r="AE878" s="250"/>
      <c r="AF878" s="251"/>
      <c r="AG878" s="250">
        <v>31286857</v>
      </c>
      <c r="AH878" s="251"/>
      <c r="AI878" s="250"/>
    </row>
    <row r="879" spans="2:35" ht="21">
      <c r="B879" s="327" t="s">
        <v>457</v>
      </c>
      <c r="C879" s="244"/>
      <c r="D879" s="237"/>
      <c r="E879" s="243">
        <f>G879+I879+K879+M879+O879+Q879+S879+U879+W879+Y879+AA879+AC879+AE879+AG879+AI879</f>
        <v>0</v>
      </c>
      <c r="F879" s="244"/>
      <c r="G879" s="243"/>
      <c r="H879" s="244"/>
      <c r="I879" s="243"/>
      <c r="J879" s="244"/>
      <c r="K879" s="243"/>
      <c r="L879" s="244"/>
      <c r="M879" s="243"/>
      <c r="N879" s="244"/>
      <c r="O879" s="243"/>
      <c r="P879" s="244"/>
      <c r="Q879" s="243"/>
      <c r="R879" s="244"/>
      <c r="S879" s="243"/>
      <c r="T879" s="244"/>
      <c r="U879" s="243"/>
      <c r="V879" s="341"/>
      <c r="W879" s="243"/>
      <c r="X879" s="244"/>
      <c r="Y879" s="243"/>
      <c r="Z879" s="244"/>
      <c r="AA879" s="243"/>
      <c r="AB879" s="244"/>
      <c r="AC879" s="243"/>
      <c r="AD879" s="244"/>
      <c r="AE879" s="243"/>
      <c r="AF879" s="244"/>
      <c r="AG879" s="243"/>
      <c r="AH879" s="244"/>
      <c r="AI879" s="243"/>
    </row>
    <row r="880" spans="2:35">
      <c r="B880" s="327" t="s">
        <v>458</v>
      </c>
      <c r="C880" s="244"/>
      <c r="D880" s="237"/>
      <c r="E880" s="243">
        <f>G880+I880+K880+M880+O880+Q880+S880+U880+W880+Y880+AA880+AC880+AE880+AG880+AI880</f>
        <v>101758599</v>
      </c>
      <c r="F880" s="244"/>
      <c r="G880" s="243">
        <v>101758599</v>
      </c>
      <c r="H880" s="244"/>
      <c r="I880" s="243"/>
      <c r="J880" s="244"/>
      <c r="K880" s="243"/>
      <c r="L880" s="244"/>
      <c r="M880" s="243"/>
      <c r="N880" s="244"/>
      <c r="O880" s="243"/>
      <c r="P880" s="244"/>
      <c r="Q880" s="243"/>
      <c r="R880" s="244"/>
      <c r="S880" s="243"/>
      <c r="T880" s="244"/>
      <c r="U880" s="243"/>
      <c r="V880" s="341"/>
      <c r="W880" s="243"/>
      <c r="X880" s="244"/>
      <c r="Y880" s="243"/>
      <c r="Z880" s="244"/>
      <c r="AA880" s="243"/>
      <c r="AB880" s="244"/>
      <c r="AC880" s="243"/>
      <c r="AD880" s="244"/>
      <c r="AE880" s="243"/>
      <c r="AF880" s="244"/>
      <c r="AG880" s="243"/>
      <c r="AH880" s="244"/>
      <c r="AI880" s="243"/>
    </row>
    <row r="881" spans="2:35">
      <c r="B881" s="327" t="s">
        <v>448</v>
      </c>
      <c r="C881" s="244"/>
      <c r="D881" s="237"/>
      <c r="E881" s="243">
        <f>G881+I881+K881+M881+O881+Q881+S881+U881+W881+Y881+AA881+AC881+AE881+AG881+AI881</f>
        <v>23621353</v>
      </c>
      <c r="F881" s="244"/>
      <c r="G881" s="243">
        <v>18956865</v>
      </c>
      <c r="H881" s="244"/>
      <c r="I881" s="243"/>
      <c r="J881" s="244"/>
      <c r="K881" s="243">
        <v>115184</v>
      </c>
      <c r="L881" s="244"/>
      <c r="M881" s="243">
        <v>4549304</v>
      </c>
      <c r="N881" s="244"/>
      <c r="O881" s="243"/>
      <c r="P881" s="244"/>
      <c r="Q881" s="243"/>
      <c r="R881" s="244"/>
      <c r="S881" s="243"/>
      <c r="T881" s="244"/>
      <c r="U881" s="243"/>
      <c r="V881" s="341"/>
      <c r="W881" s="243"/>
      <c r="X881" s="244"/>
      <c r="Y881" s="243"/>
      <c r="Z881" s="244"/>
      <c r="AA881" s="243"/>
      <c r="AB881" s="244"/>
      <c r="AC881" s="243"/>
      <c r="AD881" s="244"/>
      <c r="AE881" s="243"/>
      <c r="AF881" s="244"/>
      <c r="AG881" s="243"/>
      <c r="AH881" s="244"/>
      <c r="AI881" s="243"/>
    </row>
    <row r="882" spans="2:35">
      <c r="B882" s="327" t="s">
        <v>459</v>
      </c>
      <c r="C882" s="244"/>
      <c r="D882" s="237"/>
      <c r="E882" s="243">
        <f>G882+I882+K882+M882+O882+Q882+S882+U882+W882+Y882+AA882+AC882+AE882+AG882+AI882</f>
        <v>88967852</v>
      </c>
      <c r="F882" s="244"/>
      <c r="G882" s="243">
        <v>4421773</v>
      </c>
      <c r="H882" s="244"/>
      <c r="I882" s="243"/>
      <c r="J882" s="244"/>
      <c r="K882" s="243"/>
      <c r="L882" s="244"/>
      <c r="M882" s="243">
        <v>84546079</v>
      </c>
      <c r="N882" s="244"/>
      <c r="O882" s="243"/>
      <c r="P882" s="244"/>
      <c r="Q882" s="243"/>
      <c r="R882" s="244"/>
      <c r="S882" s="243"/>
      <c r="T882" s="244"/>
      <c r="U882" s="243"/>
      <c r="V882" s="341"/>
      <c r="W882" s="243"/>
      <c r="X882" s="244"/>
      <c r="Y882" s="243"/>
      <c r="Z882" s="244"/>
      <c r="AA882" s="243"/>
      <c r="AB882" s="244"/>
      <c r="AC882" s="243"/>
      <c r="AD882" s="244"/>
      <c r="AE882" s="243"/>
      <c r="AF882" s="244"/>
      <c r="AG882" s="243"/>
      <c r="AH882" s="244"/>
      <c r="AI882" s="243"/>
    </row>
    <row r="883" spans="2:35">
      <c r="B883" s="327"/>
      <c r="C883" s="244"/>
      <c r="D883" s="237"/>
      <c r="E883" s="243"/>
      <c r="F883" s="244"/>
      <c r="G883" s="243"/>
      <c r="H883" s="244"/>
      <c r="I883" s="243"/>
      <c r="J883" s="244"/>
      <c r="K883" s="243"/>
      <c r="L883" s="244"/>
      <c r="M883" s="243"/>
      <c r="N883" s="244"/>
      <c r="O883" s="243"/>
      <c r="P883" s="244"/>
      <c r="Q883" s="243"/>
      <c r="R883" s="244"/>
      <c r="S883" s="243"/>
      <c r="T883" s="244"/>
      <c r="U883" s="243"/>
      <c r="V883" s="341"/>
      <c r="W883" s="243"/>
      <c r="X883" s="244"/>
      <c r="Y883" s="243"/>
      <c r="Z883" s="244"/>
      <c r="AA883" s="243"/>
      <c r="AB883" s="244"/>
      <c r="AC883" s="243"/>
      <c r="AD883" s="244"/>
      <c r="AE883" s="243"/>
      <c r="AF883" s="244"/>
      <c r="AG883" s="243"/>
      <c r="AH883" s="244"/>
      <c r="AI883" s="243"/>
    </row>
    <row r="884" spans="2:35" ht="12" thickBot="1">
      <c r="B884" s="791" t="s">
        <v>860</v>
      </c>
      <c r="C884" s="244"/>
      <c r="D884" s="237"/>
      <c r="E884" s="246">
        <f>SUM(E878:E883)</f>
        <v>30006668957</v>
      </c>
      <c r="F884" s="244"/>
      <c r="G884" s="246">
        <f>SUM(G878:G883)</f>
        <v>125137237</v>
      </c>
      <c r="H884" s="244"/>
      <c r="I884" s="246">
        <f>SUM(I878:I883)</f>
        <v>0</v>
      </c>
      <c r="J884" s="244"/>
      <c r="K884" s="246">
        <f>SUM(K878:K883)</f>
        <v>3888891057</v>
      </c>
      <c r="L884" s="244"/>
      <c r="M884" s="246">
        <f>SUM(M878:M883)</f>
        <v>89095383</v>
      </c>
      <c r="N884" s="244"/>
      <c r="O884" s="246">
        <f>SUM(O878:O883)</f>
        <v>0</v>
      </c>
      <c r="P884" s="244"/>
      <c r="Q884" s="246">
        <f>SUM(Q878:Q883)</f>
        <v>0</v>
      </c>
      <c r="R884" s="244"/>
      <c r="S884" s="246">
        <f>SUM(S878:S883)</f>
        <v>535122945</v>
      </c>
      <c r="T884" s="244"/>
      <c r="U884" s="246">
        <f>SUM(U878:U883)</f>
        <v>6695314818</v>
      </c>
      <c r="V884" s="341"/>
      <c r="W884" s="246">
        <f>SUM(W878:W883)</f>
        <v>1532500000</v>
      </c>
      <c r="X884" s="244"/>
      <c r="Y884" s="246">
        <f>SUM(Y878:Y883)</f>
        <v>0</v>
      </c>
      <c r="Z884" s="244"/>
      <c r="AA884" s="246">
        <f>SUM(AA878:AA883)</f>
        <v>17109320660</v>
      </c>
      <c r="AB884" s="244"/>
      <c r="AC884" s="246">
        <f>SUM(AC878:AC883)</f>
        <v>0</v>
      </c>
      <c r="AD884" s="244"/>
      <c r="AE884" s="246">
        <f>SUM(AE878:AE883)</f>
        <v>0</v>
      </c>
      <c r="AF884" s="244"/>
      <c r="AG884" s="246">
        <f>SUM(AG878:AG883)</f>
        <v>31286857</v>
      </c>
      <c r="AH884" s="244"/>
      <c r="AI884" s="246">
        <f>SUM(AI878:AI883)</f>
        <v>0</v>
      </c>
    </row>
    <row r="885" spans="2:35" ht="12.75" thickTop="1" thickBot="1">
      <c r="B885" s="245"/>
      <c r="C885" s="248"/>
      <c r="D885" s="245"/>
      <c r="E885" s="247"/>
      <c r="F885" s="248"/>
      <c r="G885" s="247"/>
      <c r="H885" s="248"/>
      <c r="I885" s="247"/>
      <c r="J885" s="248"/>
      <c r="K885" s="247"/>
      <c r="L885" s="248"/>
      <c r="M885" s="247"/>
      <c r="N885" s="248"/>
      <c r="O885" s="247"/>
      <c r="P885" s="248"/>
      <c r="Q885" s="247"/>
      <c r="R885" s="248"/>
      <c r="S885" s="247"/>
      <c r="T885" s="248"/>
      <c r="U885" s="247"/>
      <c r="V885" s="384"/>
      <c r="W885" s="247"/>
      <c r="X885" s="248"/>
      <c r="Y885" s="247"/>
      <c r="Z885" s="248"/>
      <c r="AA885" s="247"/>
      <c r="AB885" s="248"/>
      <c r="AC885" s="247"/>
      <c r="AD885" s="248"/>
      <c r="AE885" s="247"/>
      <c r="AF885" s="248"/>
      <c r="AG885" s="247"/>
      <c r="AH885" s="248"/>
      <c r="AI885" s="247"/>
    </row>
    <row r="887" spans="2:35">
      <c r="B887" s="1469" t="s">
        <v>1030</v>
      </c>
      <c r="C887" s="1469"/>
      <c r="D887" s="1469"/>
      <c r="E887" s="1469"/>
      <c r="F887" s="1469"/>
      <c r="G887" s="1469"/>
    </row>
    <row r="888" spans="2:35" ht="12" thickBot="1">
      <c r="G888" s="335" t="s">
        <v>247</v>
      </c>
    </row>
    <row r="889" spans="2:35" ht="12" thickBot="1">
      <c r="B889" s="376" t="s">
        <v>455</v>
      </c>
      <c r="C889" s="250"/>
      <c r="D889" s="1463" t="s">
        <v>860</v>
      </c>
      <c r="E889" s="1464"/>
      <c r="F889" s="1463" t="s">
        <v>17</v>
      </c>
      <c r="G889" s="1464"/>
      <c r="H889" s="1463" t="s">
        <v>18</v>
      </c>
      <c r="I889" s="1464"/>
      <c r="J889" s="1463" t="s">
        <v>19</v>
      </c>
      <c r="K889" s="1464"/>
      <c r="L889" s="1463" t="s">
        <v>20</v>
      </c>
      <c r="M889" s="1464"/>
      <c r="N889" s="1463" t="s">
        <v>21</v>
      </c>
      <c r="O889" s="1464"/>
      <c r="P889" s="1463" t="s">
        <v>22</v>
      </c>
      <c r="Q889" s="1464"/>
      <c r="R889" s="1463" t="s">
        <v>23</v>
      </c>
      <c r="S889" s="1464"/>
      <c r="T889" s="1463" t="s">
        <v>24</v>
      </c>
      <c r="U889" s="1464"/>
      <c r="V889" s="1463" t="s">
        <v>25</v>
      </c>
      <c r="W889" s="1464"/>
      <c r="X889" s="1463" t="s">
        <v>26</v>
      </c>
      <c r="Y889" s="1464"/>
      <c r="Z889" s="1463" t="s">
        <v>27</v>
      </c>
      <c r="AA889" s="1464"/>
      <c r="AB889" s="1463" t="s">
        <v>28</v>
      </c>
      <c r="AC889" s="1464"/>
      <c r="AD889" s="1463" t="s">
        <v>29</v>
      </c>
      <c r="AE889" s="1464"/>
      <c r="AF889" s="1463" t="s">
        <v>30</v>
      </c>
      <c r="AG889" s="1464"/>
      <c r="AH889" s="1463" t="s">
        <v>31</v>
      </c>
      <c r="AI889" s="1464"/>
    </row>
    <row r="890" spans="2:35" ht="42.75" thickBot="1">
      <c r="B890" s="339"/>
      <c r="C890" s="333"/>
      <c r="D890" s="336" t="s">
        <v>438</v>
      </c>
      <c r="E890" s="790" t="s">
        <v>462</v>
      </c>
      <c r="F890" s="336" t="s">
        <v>438</v>
      </c>
      <c r="G890" s="790" t="s">
        <v>462</v>
      </c>
      <c r="H890" s="336" t="s">
        <v>438</v>
      </c>
      <c r="I890" s="790" t="s">
        <v>462</v>
      </c>
      <c r="J890" s="336" t="s">
        <v>438</v>
      </c>
      <c r="K890" s="790" t="s">
        <v>462</v>
      </c>
      <c r="L890" s="336" t="s">
        <v>438</v>
      </c>
      <c r="M890" s="790" t="s">
        <v>462</v>
      </c>
      <c r="N890" s="336" t="s">
        <v>438</v>
      </c>
      <c r="O890" s="790" t="s">
        <v>462</v>
      </c>
      <c r="P890" s="336" t="s">
        <v>438</v>
      </c>
      <c r="Q890" s="790" t="s">
        <v>462</v>
      </c>
      <c r="R890" s="336" t="s">
        <v>438</v>
      </c>
      <c r="S890" s="790" t="s">
        <v>462</v>
      </c>
      <c r="T890" s="336" t="s">
        <v>438</v>
      </c>
      <c r="U890" s="790" t="s">
        <v>462</v>
      </c>
      <c r="V890" s="323" t="s">
        <v>438</v>
      </c>
      <c r="W890" s="790" t="s">
        <v>462</v>
      </c>
      <c r="X890" s="336" t="s">
        <v>438</v>
      </c>
      <c r="Y890" s="790" t="s">
        <v>462</v>
      </c>
      <c r="Z890" s="336" t="s">
        <v>438</v>
      </c>
      <c r="AA890" s="790" t="s">
        <v>462</v>
      </c>
      <c r="AB890" s="336" t="s">
        <v>438</v>
      </c>
      <c r="AC890" s="790" t="s">
        <v>462</v>
      </c>
      <c r="AD890" s="336" t="s">
        <v>438</v>
      </c>
      <c r="AE890" s="790" t="s">
        <v>462</v>
      </c>
      <c r="AF890" s="336" t="s">
        <v>438</v>
      </c>
      <c r="AG890" s="790" t="s">
        <v>462</v>
      </c>
      <c r="AH890" s="336" t="s">
        <v>438</v>
      </c>
      <c r="AI890" s="790" t="s">
        <v>462</v>
      </c>
    </row>
    <row r="891" spans="2:35">
      <c r="B891" s="791" t="s">
        <v>463</v>
      </c>
      <c r="C891" s="244"/>
      <c r="D891" s="240"/>
      <c r="E891" s="250"/>
      <c r="F891" s="241"/>
      <c r="G891" s="243"/>
      <c r="H891" s="241"/>
      <c r="I891" s="243"/>
      <c r="J891" s="241"/>
      <c r="K891" s="243"/>
      <c r="L891" s="241"/>
      <c r="M891" s="243"/>
      <c r="N891" s="241"/>
      <c r="O891" s="243"/>
      <c r="P891" s="241"/>
      <c r="Q891" s="243"/>
      <c r="R891" s="241"/>
      <c r="S891" s="243"/>
      <c r="T891" s="241"/>
      <c r="U891" s="243"/>
      <c r="V891" s="325"/>
      <c r="W891" s="243"/>
      <c r="X891" s="241"/>
      <c r="Y891" s="243"/>
      <c r="Z891" s="241"/>
      <c r="AA891" s="243"/>
      <c r="AB891" s="241"/>
      <c r="AC891" s="243"/>
      <c r="AD891" s="241"/>
      <c r="AE891" s="243"/>
      <c r="AF891" s="241"/>
      <c r="AG891" s="243"/>
      <c r="AH891" s="241"/>
      <c r="AI891" s="243"/>
    </row>
    <row r="892" spans="2:35">
      <c r="B892" s="382" t="s">
        <v>466</v>
      </c>
      <c r="C892" s="244"/>
      <c r="D892" s="241">
        <f>F892+H892+J892+L892+N892+P892+R892+T892+V892+X892+Z892+AB892+AD892+AF892+AH892</f>
        <v>2986326240</v>
      </c>
      <c r="E892" s="243"/>
      <c r="F892" s="241"/>
      <c r="G892" s="243"/>
      <c r="H892" s="241"/>
      <c r="I892" s="243"/>
      <c r="J892" s="241"/>
      <c r="K892" s="243"/>
      <c r="L892" s="241"/>
      <c r="M892" s="243"/>
      <c r="N892" s="241"/>
      <c r="O892" s="243"/>
      <c r="P892" s="241"/>
      <c r="Q892" s="243"/>
      <c r="R892" s="241"/>
      <c r="S892" s="243"/>
      <c r="T892" s="241"/>
      <c r="U892" s="243"/>
      <c r="V892" s="325"/>
      <c r="W892" s="243"/>
      <c r="X892" s="241"/>
      <c r="Y892" s="243"/>
      <c r="Z892" s="241"/>
      <c r="AA892" s="243"/>
      <c r="AB892" s="241"/>
      <c r="AC892" s="243"/>
      <c r="AD892" s="241">
        <v>2986326240</v>
      </c>
      <c r="AE892" s="243"/>
      <c r="AF892" s="241"/>
      <c r="AG892" s="243"/>
      <c r="AH892" s="241"/>
      <c r="AI892" s="243"/>
    </row>
    <row r="893" spans="2:35">
      <c r="B893" s="382" t="s">
        <v>467</v>
      </c>
      <c r="C893" s="244"/>
      <c r="D893" s="489">
        <f>F893+H893+J893+L893+N893+P893+R893+T893+V893+X893+Z893+AB893+AD893+AF893+AH893</f>
        <v>99.22</v>
      </c>
      <c r="E893" s="243"/>
      <c r="F893" s="241"/>
      <c r="G893" s="243"/>
      <c r="H893" s="241"/>
      <c r="I893" s="243"/>
      <c r="J893" s="241"/>
      <c r="K893" s="243"/>
      <c r="L893" s="241"/>
      <c r="M893" s="243"/>
      <c r="N893" s="241"/>
      <c r="O893" s="243"/>
      <c r="P893" s="241"/>
      <c r="Q893" s="243"/>
      <c r="R893" s="241"/>
      <c r="S893" s="243"/>
      <c r="T893" s="241"/>
      <c r="U893" s="243"/>
      <c r="V893" s="325"/>
      <c r="W893" s="243"/>
      <c r="X893" s="241"/>
      <c r="Y893" s="243"/>
      <c r="Z893" s="241"/>
      <c r="AA893" s="243"/>
      <c r="AB893" s="241"/>
      <c r="AC893" s="243"/>
      <c r="AD893" s="489">
        <v>99.22</v>
      </c>
      <c r="AE893" s="243"/>
      <c r="AF893" s="241"/>
      <c r="AG893" s="243"/>
      <c r="AH893" s="241"/>
      <c r="AI893" s="243"/>
    </row>
    <row r="894" spans="2:35">
      <c r="B894" s="791" t="s">
        <v>464</v>
      </c>
      <c r="C894" s="244"/>
      <c r="D894" s="241"/>
      <c r="E894" s="243"/>
      <c r="F894" s="241"/>
      <c r="G894" s="243"/>
      <c r="H894" s="241"/>
      <c r="I894" s="243"/>
      <c r="J894" s="241"/>
      <c r="K894" s="243"/>
      <c r="L894" s="241"/>
      <c r="M894" s="243"/>
      <c r="N894" s="241"/>
      <c r="O894" s="243"/>
      <c r="P894" s="241"/>
      <c r="Q894" s="243"/>
      <c r="R894" s="241"/>
      <c r="S894" s="243"/>
      <c r="T894" s="241"/>
      <c r="U894" s="243"/>
      <c r="V894" s="325"/>
      <c r="W894" s="243"/>
      <c r="X894" s="241"/>
      <c r="Y894" s="243"/>
      <c r="Z894" s="241"/>
      <c r="AA894" s="243"/>
      <c r="AB894" s="241"/>
      <c r="AC894" s="243"/>
      <c r="AD894" s="241"/>
      <c r="AE894" s="243"/>
      <c r="AF894" s="241"/>
      <c r="AG894" s="243"/>
      <c r="AH894" s="241"/>
      <c r="AI894" s="243"/>
    </row>
    <row r="895" spans="2:35">
      <c r="B895" s="382" t="s">
        <v>466</v>
      </c>
      <c r="C895" s="244"/>
      <c r="D895" s="241">
        <f t="shared" ref="D895:D896" si="63">F895+H895+J895+L895+N895+P895+R895+T895+V895+X895+Z895+AB895+AD895+AF895+AH895</f>
        <v>23432385</v>
      </c>
      <c r="E895" s="243"/>
      <c r="F895" s="241"/>
      <c r="G895" s="243"/>
      <c r="H895" s="241"/>
      <c r="I895" s="243"/>
      <c r="J895" s="241"/>
      <c r="K895" s="243"/>
      <c r="L895" s="241"/>
      <c r="M895" s="243"/>
      <c r="N895" s="241"/>
      <c r="O895" s="243"/>
      <c r="P895" s="241"/>
      <c r="Q895" s="243"/>
      <c r="R895" s="241"/>
      <c r="S895" s="243"/>
      <c r="T895" s="241"/>
      <c r="U895" s="243"/>
      <c r="V895" s="325"/>
      <c r="W895" s="243"/>
      <c r="X895" s="241"/>
      <c r="Y895" s="243"/>
      <c r="Z895" s="241"/>
      <c r="AA895" s="243"/>
      <c r="AB895" s="241"/>
      <c r="AC895" s="243"/>
      <c r="AD895" s="241">
        <v>23432385</v>
      </c>
      <c r="AE895" s="243"/>
      <c r="AF895" s="241"/>
      <c r="AG895" s="243"/>
      <c r="AH895" s="241"/>
      <c r="AI895" s="243"/>
    </row>
    <row r="896" spans="2:35">
      <c r="B896" s="382" t="s">
        <v>467</v>
      </c>
      <c r="C896" s="244"/>
      <c r="D896" s="489">
        <f t="shared" si="63"/>
        <v>0.78</v>
      </c>
      <c r="E896" s="243"/>
      <c r="F896" s="241"/>
      <c r="G896" s="243"/>
      <c r="H896" s="241"/>
      <c r="I896" s="243"/>
      <c r="J896" s="241"/>
      <c r="K896" s="243"/>
      <c r="L896" s="241"/>
      <c r="M896" s="243"/>
      <c r="N896" s="241"/>
      <c r="O896" s="243"/>
      <c r="P896" s="241"/>
      <c r="Q896" s="243"/>
      <c r="R896" s="241"/>
      <c r="S896" s="243"/>
      <c r="T896" s="241"/>
      <c r="U896" s="243"/>
      <c r="V896" s="325"/>
      <c r="W896" s="243"/>
      <c r="X896" s="241"/>
      <c r="Y896" s="243"/>
      <c r="Z896" s="241"/>
      <c r="AA896" s="243"/>
      <c r="AB896" s="241"/>
      <c r="AC896" s="243"/>
      <c r="AD896" s="489">
        <v>0.78</v>
      </c>
      <c r="AE896" s="243"/>
      <c r="AF896" s="241"/>
      <c r="AG896" s="243"/>
      <c r="AH896" s="241"/>
      <c r="AI896" s="243"/>
    </row>
    <row r="897" spans="2:35" ht="12" thickBot="1">
      <c r="B897" s="791" t="s">
        <v>465</v>
      </c>
      <c r="C897" s="244"/>
      <c r="D897" s="285">
        <f>+D892+D895</f>
        <v>3009758625</v>
      </c>
      <c r="E897" s="246"/>
      <c r="F897" s="285"/>
      <c r="G897" s="246"/>
      <c r="H897" s="285"/>
      <c r="I897" s="246"/>
      <c r="J897" s="285"/>
      <c r="K897" s="246"/>
      <c r="L897" s="285"/>
      <c r="M897" s="246"/>
      <c r="N897" s="285"/>
      <c r="O897" s="246"/>
      <c r="P897" s="285"/>
      <c r="Q897" s="246"/>
      <c r="R897" s="285"/>
      <c r="S897" s="246"/>
      <c r="T897" s="285"/>
      <c r="U897" s="246"/>
      <c r="V897" s="457"/>
      <c r="W897" s="246"/>
      <c r="X897" s="285"/>
      <c r="Y897" s="246"/>
      <c r="Z897" s="285"/>
      <c r="AA897" s="246"/>
      <c r="AB897" s="285"/>
      <c r="AC897" s="246"/>
      <c r="AD897" s="285">
        <f>+AD892+AD895</f>
        <v>3009758625</v>
      </c>
      <c r="AE897" s="246"/>
      <c r="AF897" s="285"/>
      <c r="AG897" s="246"/>
      <c r="AH897" s="285"/>
      <c r="AI897" s="246"/>
    </row>
    <row r="898" spans="2:35" ht="12.75" thickTop="1" thickBot="1">
      <c r="B898" s="245"/>
      <c r="C898" s="248"/>
      <c r="D898" s="286"/>
      <c r="E898" s="247"/>
      <c r="F898" s="286"/>
      <c r="G898" s="247"/>
      <c r="H898" s="286"/>
      <c r="I898" s="247"/>
      <c r="J898" s="286"/>
      <c r="K898" s="247"/>
      <c r="L898" s="286"/>
      <c r="M898" s="247"/>
      <c r="N898" s="286"/>
      <c r="O898" s="247"/>
      <c r="P898" s="286"/>
      <c r="Q898" s="247"/>
      <c r="R898" s="286"/>
      <c r="S898" s="247"/>
      <c r="T898" s="286"/>
      <c r="U898" s="247"/>
      <c r="V898" s="424"/>
      <c r="W898" s="247"/>
      <c r="X898" s="286"/>
      <c r="Y898" s="247"/>
      <c r="Z898" s="286"/>
      <c r="AA898" s="247"/>
      <c r="AB898" s="286"/>
      <c r="AC898" s="247"/>
      <c r="AD898" s="286"/>
      <c r="AE898" s="247"/>
      <c r="AF898" s="286"/>
      <c r="AG898" s="247"/>
      <c r="AH898" s="286"/>
      <c r="AI898" s="247"/>
    </row>
    <row r="900" spans="2:35">
      <c r="B900" s="787" t="s">
        <v>1031</v>
      </c>
    </row>
    <row r="901" spans="2:35" ht="12" thickBot="1">
      <c r="G901" s="335" t="s">
        <v>247</v>
      </c>
    </row>
    <row r="902" spans="2:35" ht="12" thickBot="1">
      <c r="B902" s="445"/>
      <c r="C902" s="250"/>
      <c r="D902" s="1463" t="s">
        <v>860</v>
      </c>
      <c r="E902" s="1464"/>
      <c r="F902" s="1463" t="s">
        <v>17</v>
      </c>
      <c r="G902" s="1464"/>
      <c r="H902" s="1468"/>
      <c r="I902" s="1468"/>
      <c r="J902" s="1468"/>
      <c r="K902" s="1468"/>
      <c r="L902" s="1468"/>
      <c r="M902" s="1468"/>
      <c r="N902" s="1468"/>
      <c r="O902" s="1468"/>
      <c r="P902" s="1468"/>
      <c r="Q902" s="1468"/>
      <c r="R902" s="1468"/>
      <c r="S902" s="1468"/>
      <c r="T902" s="1468"/>
      <c r="U902" s="1468"/>
      <c r="V902" s="1468"/>
      <c r="W902" s="1468"/>
      <c r="X902" s="1468"/>
      <c r="Y902" s="1468"/>
      <c r="Z902" s="1468"/>
      <c r="AA902" s="1468"/>
      <c r="AB902" s="1468"/>
      <c r="AC902" s="1468"/>
      <c r="AD902" s="1468"/>
      <c r="AE902" s="1468"/>
      <c r="AF902" s="1468"/>
      <c r="AG902" s="1468"/>
      <c r="AH902" s="1468"/>
      <c r="AI902" s="1468"/>
    </row>
    <row r="903" spans="2:35">
      <c r="B903" s="351" t="s">
        <v>469</v>
      </c>
      <c r="C903" s="251"/>
      <c r="D903" s="249"/>
      <c r="E903" s="250">
        <f>G903</f>
        <v>0</v>
      </c>
      <c r="F903" s="249"/>
      <c r="G903" s="250"/>
      <c r="H903" s="458"/>
      <c r="I903" s="458"/>
      <c r="J903" s="458"/>
      <c r="K903" s="458"/>
      <c r="L903" s="458"/>
      <c r="M903" s="458"/>
      <c r="N903" s="458"/>
      <c r="O903" s="458"/>
      <c r="P903" s="458"/>
      <c r="Q903" s="458"/>
      <c r="R903" s="458"/>
      <c r="S903" s="458"/>
      <c r="T903" s="458"/>
      <c r="U903" s="458"/>
      <c r="V903" s="459"/>
      <c r="W903" s="458"/>
      <c r="X903" s="458"/>
      <c r="Y903" s="458"/>
      <c r="Z903" s="458"/>
      <c r="AA903" s="458"/>
      <c r="AB903" s="458"/>
      <c r="AC903" s="458"/>
      <c r="AD903" s="458"/>
      <c r="AE903" s="458"/>
      <c r="AF903" s="458"/>
      <c r="AG903" s="458"/>
      <c r="AH903" s="458"/>
      <c r="AI903" s="458"/>
    </row>
    <row r="904" spans="2:35" ht="21">
      <c r="B904" s="327" t="s">
        <v>470</v>
      </c>
      <c r="C904" s="244"/>
      <c r="D904" s="237"/>
      <c r="E904" s="243">
        <f>G904</f>
        <v>0</v>
      </c>
      <c r="F904" s="237"/>
      <c r="G904" s="243"/>
      <c r="H904" s="458"/>
      <c r="I904" s="458"/>
      <c r="J904" s="458"/>
      <c r="K904" s="458"/>
      <c r="L904" s="458"/>
      <c r="M904" s="458"/>
      <c r="N904" s="458"/>
      <c r="O904" s="458"/>
      <c r="P904" s="458"/>
      <c r="Q904" s="458"/>
      <c r="R904" s="458"/>
      <c r="S904" s="458"/>
      <c r="T904" s="458"/>
      <c r="U904" s="458"/>
      <c r="V904" s="459"/>
      <c r="W904" s="458"/>
      <c r="X904" s="458"/>
      <c r="Y904" s="458"/>
      <c r="Z904" s="458"/>
      <c r="AA904" s="458"/>
      <c r="AB904" s="458"/>
      <c r="AC904" s="458"/>
      <c r="AD904" s="458"/>
      <c r="AE904" s="458"/>
      <c r="AF904" s="458"/>
      <c r="AG904" s="458"/>
      <c r="AH904" s="458"/>
      <c r="AI904" s="458"/>
    </row>
    <row r="905" spans="2:35" ht="21">
      <c r="B905" s="327" t="s">
        <v>471</v>
      </c>
      <c r="C905" s="244"/>
      <c r="D905" s="237"/>
      <c r="E905" s="243">
        <f>G905</f>
        <v>0</v>
      </c>
      <c r="F905" s="237"/>
      <c r="G905" s="243"/>
      <c r="H905" s="458"/>
      <c r="I905" s="458"/>
      <c r="J905" s="458"/>
      <c r="K905" s="458"/>
      <c r="L905" s="458"/>
      <c r="M905" s="458"/>
      <c r="N905" s="458"/>
      <c r="O905" s="458"/>
      <c r="P905" s="458"/>
      <c r="Q905" s="458"/>
      <c r="R905" s="458"/>
      <c r="S905" s="458"/>
      <c r="T905" s="458"/>
      <c r="U905" s="458"/>
      <c r="V905" s="459"/>
      <c r="W905" s="458"/>
      <c r="X905" s="458"/>
      <c r="Y905" s="458"/>
      <c r="Z905" s="458"/>
      <c r="AA905" s="458"/>
      <c r="AB905" s="458"/>
      <c r="AC905" s="458"/>
      <c r="AD905" s="458"/>
      <c r="AE905" s="458"/>
      <c r="AF905" s="458"/>
      <c r="AG905" s="458"/>
      <c r="AH905" s="458"/>
      <c r="AI905" s="458"/>
    </row>
    <row r="906" spans="2:35" ht="12" thickBot="1">
      <c r="B906" s="235" t="s">
        <v>472</v>
      </c>
      <c r="C906" s="248"/>
      <c r="D906" s="245"/>
      <c r="E906" s="247"/>
      <c r="F906" s="245"/>
      <c r="G906" s="247"/>
      <c r="H906" s="458"/>
      <c r="I906" s="458"/>
      <c r="J906" s="458"/>
      <c r="K906" s="458"/>
      <c r="L906" s="458"/>
      <c r="M906" s="458"/>
      <c r="N906" s="458"/>
      <c r="O906" s="458"/>
      <c r="P906" s="458"/>
      <c r="Q906" s="458"/>
      <c r="R906" s="458"/>
      <c r="S906" s="458"/>
      <c r="T906" s="458"/>
      <c r="U906" s="458"/>
      <c r="V906" s="459"/>
      <c r="W906" s="458"/>
      <c r="X906" s="458"/>
      <c r="Y906" s="458"/>
      <c r="Z906" s="458"/>
      <c r="AA906" s="458"/>
      <c r="AB906" s="458"/>
      <c r="AC906" s="458"/>
      <c r="AD906" s="458"/>
      <c r="AE906" s="458"/>
      <c r="AF906" s="458"/>
      <c r="AG906" s="458"/>
      <c r="AH906" s="458"/>
      <c r="AI906" s="458"/>
    </row>
    <row r="910" spans="2:35" ht="15">
      <c r="B910" s="464" t="s">
        <v>497</v>
      </c>
    </row>
    <row r="911" spans="2:35" ht="12" thickBot="1"/>
    <row r="912" spans="2:35" ht="12" thickBot="1">
      <c r="B912" s="465"/>
      <c r="C912" s="466" t="s">
        <v>746</v>
      </c>
      <c r="D912" s="1463" t="s">
        <v>860</v>
      </c>
      <c r="E912" s="1464"/>
      <c r="F912" s="1463" t="s">
        <v>17</v>
      </c>
      <c r="G912" s="1464"/>
      <c r="H912" s="1463" t="s">
        <v>18</v>
      </c>
      <c r="I912" s="1464"/>
      <c r="J912" s="1463" t="s">
        <v>19</v>
      </c>
      <c r="K912" s="1464"/>
      <c r="L912" s="1463" t="s">
        <v>20</v>
      </c>
      <c r="M912" s="1464"/>
      <c r="N912" s="1463" t="s">
        <v>21</v>
      </c>
      <c r="O912" s="1464"/>
      <c r="P912" s="1463" t="s">
        <v>22</v>
      </c>
      <c r="Q912" s="1464"/>
      <c r="R912" s="1463" t="s">
        <v>23</v>
      </c>
      <c r="S912" s="1464"/>
      <c r="T912" s="1463" t="s">
        <v>24</v>
      </c>
      <c r="U912" s="1464"/>
      <c r="V912" s="1463" t="s">
        <v>25</v>
      </c>
      <c r="W912" s="1464"/>
      <c r="X912" s="1463" t="s">
        <v>26</v>
      </c>
      <c r="Y912" s="1464"/>
      <c r="Z912" s="1463" t="s">
        <v>27</v>
      </c>
      <c r="AA912" s="1464"/>
      <c r="AB912" s="1463" t="s">
        <v>28</v>
      </c>
      <c r="AC912" s="1464"/>
      <c r="AD912" s="1463" t="s">
        <v>29</v>
      </c>
      <c r="AE912" s="1464"/>
      <c r="AF912" s="1463" t="s">
        <v>30</v>
      </c>
      <c r="AG912" s="1464"/>
      <c r="AH912" s="1463" t="s">
        <v>31</v>
      </c>
      <c r="AI912" s="1464"/>
    </row>
    <row r="913" spans="2:35" ht="12" thickBot="1">
      <c r="B913" s="467"/>
      <c r="C913" s="468"/>
      <c r="D913" s="302"/>
      <c r="E913" s="265"/>
      <c r="F913" s="302"/>
      <c r="G913" s="265"/>
      <c r="AH913" s="249"/>
      <c r="AI913" s="250"/>
    </row>
    <row r="914" spans="2:35">
      <c r="B914" s="469" t="s">
        <v>632</v>
      </c>
      <c r="C914" s="470"/>
      <c r="D914" s="262"/>
      <c r="E914" s="263"/>
      <c r="F914" s="269"/>
      <c r="G914" s="263"/>
      <c r="H914" s="269"/>
      <c r="I914" s="263"/>
      <c r="J914" s="269"/>
      <c r="K914" s="263"/>
      <c r="L914" s="269"/>
      <c r="M914" s="263"/>
      <c r="N914" s="269"/>
      <c r="O914" s="263"/>
      <c r="P914" s="269"/>
      <c r="Q914" s="263"/>
      <c r="R914" s="269"/>
      <c r="S914" s="263"/>
      <c r="T914" s="269"/>
      <c r="U914" s="263"/>
      <c r="V914" s="269"/>
      <c r="W914" s="263"/>
      <c r="X914" s="269"/>
      <c r="Y914" s="263"/>
      <c r="Z914" s="269"/>
      <c r="AA914" s="263"/>
      <c r="AB914" s="269"/>
      <c r="AC914" s="263"/>
      <c r="AD914" s="269"/>
      <c r="AE914" s="263"/>
      <c r="AF914" s="269"/>
      <c r="AG914" s="263"/>
      <c r="AH914" s="269"/>
      <c r="AI914" s="263"/>
    </row>
    <row r="915" spans="2:35">
      <c r="B915" s="262" t="s">
        <v>633</v>
      </c>
      <c r="C915" s="471">
        <v>3</v>
      </c>
      <c r="D915" s="262"/>
      <c r="E915" s="263"/>
      <c r="F915" s="269"/>
      <c r="G915" s="263"/>
      <c r="H915" s="269"/>
      <c r="I915" s="263"/>
      <c r="J915" s="269"/>
      <c r="K915" s="263"/>
      <c r="L915" s="269"/>
      <c r="M915" s="263"/>
      <c r="N915" s="269"/>
      <c r="O915" s="263"/>
      <c r="P915" s="269"/>
      <c r="Q915" s="263"/>
      <c r="R915" s="269"/>
      <c r="S915" s="263"/>
      <c r="T915" s="269"/>
      <c r="U915" s="263"/>
      <c r="V915" s="269"/>
      <c r="W915" s="263"/>
      <c r="X915" s="269"/>
      <c r="Y915" s="263"/>
      <c r="Z915" s="269"/>
      <c r="AA915" s="263"/>
      <c r="AB915" s="269"/>
      <c r="AC915" s="263"/>
      <c r="AD915" s="269"/>
      <c r="AE915" s="263"/>
      <c r="AF915" s="269"/>
      <c r="AG915" s="263"/>
      <c r="AH915" s="269"/>
      <c r="AI915" s="263"/>
    </row>
    <row r="916" spans="2:35">
      <c r="B916" s="262" t="s">
        <v>634</v>
      </c>
      <c r="C916" s="471">
        <v>3.1</v>
      </c>
      <c r="D916" s="262">
        <f>F916+H916+J916+L916+N916+P916+R916+T916+V916+X916+Z916+AB916+AD916+AF916+AH916</f>
        <v>1000000000</v>
      </c>
      <c r="E916" s="263"/>
      <c r="F916" s="269">
        <f>E16</f>
        <v>1000000000</v>
      </c>
      <c r="G916" s="263"/>
      <c r="H916" s="269">
        <f>I16</f>
        <v>0</v>
      </c>
      <c r="I916" s="263"/>
      <c r="J916" s="269">
        <f>K16</f>
        <v>0</v>
      </c>
      <c r="K916" s="263"/>
      <c r="L916" s="269">
        <f>M16</f>
        <v>0</v>
      </c>
      <c r="M916" s="263"/>
      <c r="N916" s="269">
        <f>O16</f>
        <v>0</v>
      </c>
      <c r="O916" s="263"/>
      <c r="P916" s="269">
        <f>Q16</f>
        <v>0</v>
      </c>
      <c r="Q916" s="263"/>
      <c r="R916" s="269">
        <f>S16</f>
        <v>0</v>
      </c>
      <c r="S916" s="263"/>
      <c r="T916" s="269">
        <f>U16</f>
        <v>0</v>
      </c>
      <c r="U916" s="263"/>
      <c r="V916" s="269">
        <f>W16</f>
        <v>0</v>
      </c>
      <c r="W916" s="263"/>
      <c r="X916" s="269">
        <f>Y16</f>
        <v>0</v>
      </c>
      <c r="Y916" s="263"/>
      <c r="Z916" s="269">
        <f>AA16</f>
        <v>0</v>
      </c>
      <c r="AA916" s="263"/>
      <c r="AB916" s="269">
        <f>AC16</f>
        <v>0</v>
      </c>
      <c r="AC916" s="263"/>
      <c r="AD916" s="269">
        <f>AE16</f>
        <v>0</v>
      </c>
      <c r="AE916" s="263"/>
      <c r="AF916" s="269">
        <f>AG16</f>
        <v>0</v>
      </c>
      <c r="AG916" s="263"/>
      <c r="AH916" s="269">
        <f>AI16</f>
        <v>0</v>
      </c>
      <c r="AI916" s="263"/>
    </row>
    <row r="917" spans="2:35">
      <c r="B917" s="262" t="s">
        <v>635</v>
      </c>
      <c r="C917" s="471">
        <v>3.2</v>
      </c>
      <c r="D917" s="262">
        <f>F917+H917+J917+L917+N917+P917+R917+T917+V917+X917+Z917+AB917+AD917+AF917+AH917</f>
        <v>12407775792</v>
      </c>
      <c r="E917" s="263"/>
      <c r="F917" s="269">
        <f>E66-E46+E77</f>
        <v>12407087466</v>
      </c>
      <c r="G917" s="263"/>
      <c r="H917" s="269">
        <f>K56</f>
        <v>0</v>
      </c>
      <c r="I917" s="263"/>
      <c r="J917" s="269">
        <f>M56</f>
        <v>0</v>
      </c>
      <c r="K917" s="263"/>
      <c r="L917" s="269">
        <f>O56</f>
        <v>0</v>
      </c>
      <c r="M917" s="263"/>
      <c r="N917" s="269">
        <f>Q56</f>
        <v>0</v>
      </c>
      <c r="O917" s="263"/>
      <c r="P917" s="269">
        <f>S56</f>
        <v>0</v>
      </c>
      <c r="Q917" s="263"/>
      <c r="R917" s="269">
        <f>U56</f>
        <v>0</v>
      </c>
      <c r="S917" s="263"/>
      <c r="T917" s="269">
        <f>W56</f>
        <v>0</v>
      </c>
      <c r="U917" s="263"/>
      <c r="V917" s="269">
        <f>Y56</f>
        <v>0</v>
      </c>
      <c r="W917" s="263"/>
      <c r="X917" s="269">
        <f>AA56</f>
        <v>0</v>
      </c>
      <c r="Y917" s="263"/>
      <c r="Z917" s="269">
        <f>AC56</f>
        <v>0</v>
      </c>
      <c r="AA917" s="263"/>
      <c r="AB917" s="269">
        <f>AE56</f>
        <v>0</v>
      </c>
      <c r="AC917" s="263"/>
      <c r="AD917" s="269">
        <f>AG56</f>
        <v>0</v>
      </c>
      <c r="AE917" s="263"/>
      <c r="AF917" s="269">
        <f>AI56</f>
        <v>0</v>
      </c>
      <c r="AG917" s="263"/>
      <c r="AH917" s="269">
        <f>E46</f>
        <v>688326</v>
      </c>
      <c r="AI917" s="263"/>
    </row>
    <row r="918" spans="2:35" ht="12" thickBot="1">
      <c r="B918" s="262" t="s">
        <v>636</v>
      </c>
      <c r="C918" s="471"/>
      <c r="D918" s="264">
        <f>F918+H918+J918+L918+N918+P918+R918+T918+V918+X918+Z918+AB918+AD918+AF918+AH918</f>
        <v>0</v>
      </c>
      <c r="E918" s="263">
        <f>+SUM(D916:D918)</f>
        <v>13407775792</v>
      </c>
      <c r="F918" s="264"/>
      <c r="G918" s="263">
        <f>+SUM(F916:F918)</f>
        <v>13407087466</v>
      </c>
      <c r="H918" s="264"/>
      <c r="I918" s="263">
        <f>+SUM(H916:H918)</f>
        <v>0</v>
      </c>
      <c r="J918" s="264"/>
      <c r="K918" s="263">
        <f>+SUM(J916:J918)</f>
        <v>0</v>
      </c>
      <c r="L918" s="264"/>
      <c r="M918" s="263">
        <f>+SUM(L916:L918)</f>
        <v>0</v>
      </c>
      <c r="N918" s="264"/>
      <c r="O918" s="263">
        <f>+SUM(N916:N918)</f>
        <v>0</v>
      </c>
      <c r="P918" s="264"/>
      <c r="Q918" s="263">
        <f>+SUM(P916:P918)</f>
        <v>0</v>
      </c>
      <c r="R918" s="264"/>
      <c r="S918" s="263">
        <f>+SUM(R916:R918)</f>
        <v>0</v>
      </c>
      <c r="T918" s="264"/>
      <c r="U918" s="263">
        <f>+SUM(T916:T918)</f>
        <v>0</v>
      </c>
      <c r="V918" s="264"/>
      <c r="W918" s="263">
        <f>+SUM(V916:V918)</f>
        <v>0</v>
      </c>
      <c r="X918" s="264"/>
      <c r="Y918" s="263">
        <f>+SUM(X916:X918)</f>
        <v>0</v>
      </c>
      <c r="Z918" s="264"/>
      <c r="AA918" s="263">
        <f>+SUM(Z916:Z918)</f>
        <v>0</v>
      </c>
      <c r="AB918" s="264"/>
      <c r="AC918" s="263">
        <f>+SUM(AB916:AB918)</f>
        <v>0</v>
      </c>
      <c r="AD918" s="264"/>
      <c r="AE918" s="263">
        <f>+SUM(AD916:AD918)</f>
        <v>0</v>
      </c>
      <c r="AF918" s="264"/>
      <c r="AG918" s="263">
        <f>+SUM(AF916:AF918)</f>
        <v>0</v>
      </c>
      <c r="AH918" s="264"/>
      <c r="AI918" s="263">
        <f>+SUM(AH916:AH918)</f>
        <v>688326</v>
      </c>
    </row>
    <row r="919" spans="2:35">
      <c r="B919" s="262"/>
      <c r="C919" s="471"/>
      <c r="D919" s="262"/>
      <c r="E919" s="263"/>
      <c r="F919" s="269"/>
      <c r="G919" s="263"/>
      <c r="H919" s="269"/>
      <c r="I919" s="263"/>
      <c r="J919" s="269"/>
      <c r="K919" s="263"/>
      <c r="L919" s="269"/>
      <c r="M919" s="263"/>
      <c r="N919" s="269"/>
      <c r="O919" s="263"/>
      <c r="P919" s="269"/>
      <c r="Q919" s="263"/>
      <c r="R919" s="269"/>
      <c r="S919" s="263"/>
      <c r="T919" s="269"/>
      <c r="U919" s="263"/>
      <c r="V919" s="269"/>
      <c r="W919" s="263"/>
      <c r="X919" s="269"/>
      <c r="Y919" s="263"/>
      <c r="Z919" s="269"/>
      <c r="AA919" s="263"/>
      <c r="AB919" s="269"/>
      <c r="AC919" s="263"/>
      <c r="AD919" s="269"/>
      <c r="AE919" s="263"/>
      <c r="AF919" s="269"/>
      <c r="AG919" s="263"/>
      <c r="AH919" s="269"/>
      <c r="AI919" s="263"/>
    </row>
    <row r="920" spans="2:35" ht="21.75">
      <c r="B920" s="472" t="s">
        <v>637</v>
      </c>
      <c r="C920" s="471"/>
      <c r="D920" s="262"/>
      <c r="E920" s="263"/>
      <c r="F920" s="269"/>
      <c r="G920" s="263"/>
      <c r="H920" s="269"/>
      <c r="I920" s="263"/>
      <c r="J920" s="269"/>
      <c r="K920" s="263"/>
      <c r="L920" s="269"/>
      <c r="M920" s="263"/>
      <c r="N920" s="269"/>
      <c r="O920" s="263"/>
      <c r="P920" s="269"/>
      <c r="Q920" s="263"/>
      <c r="R920" s="269"/>
      <c r="S920" s="263"/>
      <c r="T920" s="269"/>
      <c r="U920" s="263"/>
      <c r="V920" s="269"/>
      <c r="W920" s="263"/>
      <c r="X920" s="269"/>
      <c r="Y920" s="263"/>
      <c r="Z920" s="269"/>
      <c r="AA920" s="263"/>
      <c r="AB920" s="269"/>
      <c r="AC920" s="263"/>
      <c r="AD920" s="269"/>
      <c r="AE920" s="263"/>
      <c r="AF920" s="269"/>
      <c r="AG920" s="263"/>
      <c r="AH920" s="269"/>
      <c r="AI920" s="263"/>
    </row>
    <row r="921" spans="2:35">
      <c r="B921" s="262"/>
      <c r="C921" s="471"/>
      <c r="D921" s="262"/>
      <c r="E921" s="263"/>
      <c r="F921" s="269"/>
      <c r="G921" s="263"/>
      <c r="H921" s="269"/>
      <c r="I921" s="263"/>
      <c r="J921" s="269"/>
      <c r="K921" s="263"/>
      <c r="L921" s="269"/>
      <c r="M921" s="263"/>
      <c r="N921" s="269"/>
      <c r="O921" s="263"/>
      <c r="P921" s="269"/>
      <c r="Q921" s="263"/>
      <c r="R921" s="269"/>
      <c r="S921" s="263"/>
      <c r="T921" s="269"/>
      <c r="U921" s="263"/>
      <c r="V921" s="269"/>
      <c r="W921" s="263"/>
      <c r="X921" s="269"/>
      <c r="Y921" s="263"/>
      <c r="Z921" s="269"/>
      <c r="AA921" s="263"/>
      <c r="AB921" s="269"/>
      <c r="AC921" s="263"/>
      <c r="AD921" s="269"/>
      <c r="AE921" s="263"/>
      <c r="AF921" s="269"/>
      <c r="AG921" s="263"/>
      <c r="AH921" s="269"/>
      <c r="AI921" s="263"/>
    </row>
    <row r="922" spans="2:35">
      <c r="B922" s="262" t="s">
        <v>638</v>
      </c>
      <c r="C922" s="471">
        <v>4</v>
      </c>
      <c r="D922" s="262"/>
      <c r="E922" s="263"/>
      <c r="F922" s="269"/>
      <c r="G922" s="263"/>
      <c r="H922" s="269"/>
      <c r="I922" s="263"/>
      <c r="J922" s="269"/>
      <c r="K922" s="263"/>
      <c r="L922" s="269"/>
      <c r="M922" s="263"/>
      <c r="N922" s="269"/>
      <c r="O922" s="263"/>
      <c r="P922" s="269"/>
      <c r="Q922" s="263"/>
      <c r="R922" s="269"/>
      <c r="S922" s="263"/>
      <c r="T922" s="269"/>
      <c r="U922" s="263"/>
      <c r="V922" s="269"/>
      <c r="W922" s="263"/>
      <c r="X922" s="269"/>
      <c r="Y922" s="263"/>
      <c r="Z922" s="269"/>
      <c r="AA922" s="263"/>
      <c r="AB922" s="269"/>
      <c r="AC922" s="263"/>
      <c r="AD922" s="269"/>
      <c r="AE922" s="263"/>
      <c r="AF922" s="269"/>
      <c r="AG922" s="263"/>
      <c r="AH922" s="269"/>
      <c r="AI922" s="263"/>
    </row>
    <row r="923" spans="2:35">
      <c r="B923" s="262" t="s">
        <v>639</v>
      </c>
      <c r="C923" s="471">
        <v>4.0999999999999996</v>
      </c>
      <c r="D923" s="262">
        <f>F923+H923+J923+L923+N923+P923+R923+T923+V923+X923+Z923+AB923+AD923+AF923+AH923</f>
        <v>0</v>
      </c>
      <c r="E923" s="263"/>
      <c r="F923" s="269">
        <f>G115</f>
        <v>0</v>
      </c>
      <c r="G923" s="263"/>
      <c r="H923" s="269">
        <f>I115</f>
        <v>0</v>
      </c>
      <c r="I923" s="263"/>
      <c r="J923" s="269">
        <f>K115</f>
        <v>0</v>
      </c>
      <c r="K923" s="263"/>
      <c r="L923" s="269">
        <f>M115</f>
        <v>0</v>
      </c>
      <c r="M923" s="263"/>
      <c r="N923" s="269">
        <f>O115</f>
        <v>0</v>
      </c>
      <c r="O923" s="263"/>
      <c r="P923" s="269">
        <f>Q115</f>
        <v>0</v>
      </c>
      <c r="Q923" s="263"/>
      <c r="R923" s="269">
        <f>S115</f>
        <v>0</v>
      </c>
      <c r="S923" s="263"/>
      <c r="T923" s="269">
        <f>U115</f>
        <v>0</v>
      </c>
      <c r="U923" s="263"/>
      <c r="V923" s="269">
        <f>W115</f>
        <v>0</v>
      </c>
      <c r="W923" s="263"/>
      <c r="X923" s="269">
        <f>Y115</f>
        <v>0</v>
      </c>
      <c r="Y923" s="263"/>
      <c r="Z923" s="269">
        <f>AA115</f>
        <v>0</v>
      </c>
      <c r="AA923" s="263"/>
      <c r="AB923" s="269">
        <f>AC115</f>
        <v>0</v>
      </c>
      <c r="AC923" s="263"/>
      <c r="AD923" s="269">
        <f>AE115</f>
        <v>0</v>
      </c>
      <c r="AE923" s="263"/>
      <c r="AF923" s="269">
        <f>AG115</f>
        <v>0</v>
      </c>
      <c r="AG923" s="263"/>
      <c r="AH923" s="269">
        <f>AI115</f>
        <v>0</v>
      </c>
      <c r="AI923" s="263"/>
    </row>
    <row r="924" spans="2:35">
      <c r="B924" s="262" t="s">
        <v>640</v>
      </c>
      <c r="C924" s="471"/>
      <c r="D924" s="262">
        <f>F924+H924+J924+L924+N924+P924+R924+T924+V924+X924+Z924+AB924+AD924+AF924+AH924</f>
        <v>0</v>
      </c>
      <c r="E924" s="263"/>
      <c r="F924" s="269"/>
      <c r="G924" s="263"/>
      <c r="H924" s="269"/>
      <c r="I924" s="263"/>
      <c r="J924" s="269"/>
      <c r="K924" s="263"/>
      <c r="L924" s="269"/>
      <c r="M924" s="263"/>
      <c r="N924" s="269"/>
      <c r="O924" s="263"/>
      <c r="P924" s="269"/>
      <c r="Q924" s="263"/>
      <c r="R924" s="269"/>
      <c r="S924" s="263"/>
      <c r="T924" s="269"/>
      <c r="U924" s="263"/>
      <c r="V924" s="269"/>
      <c r="W924" s="263"/>
      <c r="X924" s="269"/>
      <c r="Y924" s="263"/>
      <c r="Z924" s="269"/>
      <c r="AA924" s="263"/>
      <c r="AB924" s="269"/>
      <c r="AC924" s="263"/>
      <c r="AD924" s="269"/>
      <c r="AE924" s="263"/>
      <c r="AF924" s="269"/>
      <c r="AG924" s="263"/>
      <c r="AH924" s="269"/>
      <c r="AI924" s="263"/>
    </row>
    <row r="925" spans="2:35">
      <c r="B925" s="262" t="s">
        <v>641</v>
      </c>
      <c r="C925" s="471">
        <v>4.2</v>
      </c>
      <c r="D925" s="262">
        <f>F925+H925+J925+L925+N925+P925+R925+T925+V925+X925+Z925+AB925+AD925+AF925+AH925</f>
        <v>191176470</v>
      </c>
      <c r="E925" s="263"/>
      <c r="F925" s="269">
        <f>G135</f>
        <v>0</v>
      </c>
      <c r="G925" s="263"/>
      <c r="H925" s="269">
        <f>I135</f>
        <v>0</v>
      </c>
      <c r="I925" s="263"/>
      <c r="J925" s="269">
        <f>K135</f>
        <v>0</v>
      </c>
      <c r="K925" s="263"/>
      <c r="L925" s="269">
        <f>M135</f>
        <v>0</v>
      </c>
      <c r="M925" s="263"/>
      <c r="N925" s="269">
        <f>O135</f>
        <v>18015907</v>
      </c>
      <c r="O925" s="263"/>
      <c r="P925" s="269">
        <f>Q135</f>
        <v>2244023</v>
      </c>
      <c r="Q925" s="263"/>
      <c r="R925" s="269">
        <f>S135</f>
        <v>0</v>
      </c>
      <c r="S925" s="263"/>
      <c r="T925" s="269">
        <f>U135</f>
        <v>0</v>
      </c>
      <c r="U925" s="263"/>
      <c r="V925" s="269">
        <f>W135</f>
        <v>0</v>
      </c>
      <c r="W925" s="263"/>
      <c r="X925" s="269">
        <f>Y135</f>
        <v>0</v>
      </c>
      <c r="Y925" s="263"/>
      <c r="Z925" s="269">
        <f>AA135</f>
        <v>32804898</v>
      </c>
      <c r="AA925" s="263"/>
      <c r="AB925" s="269">
        <f>AC135</f>
        <v>0</v>
      </c>
      <c r="AC925" s="263"/>
      <c r="AD925" s="269">
        <f>AE135</f>
        <v>0</v>
      </c>
      <c r="AE925" s="263"/>
      <c r="AF925" s="269">
        <f>AG135</f>
        <v>125764537</v>
      </c>
      <c r="AG925" s="263"/>
      <c r="AH925" s="269">
        <f>AI135</f>
        <v>12347105</v>
      </c>
      <c r="AI925" s="263"/>
    </row>
    <row r="926" spans="2:35" ht="12" thickBot="1">
      <c r="B926" s="262" t="s">
        <v>642</v>
      </c>
      <c r="C926" s="471">
        <v>4.3</v>
      </c>
      <c r="D926" s="264">
        <f>F926+H926+J926+L926+N926+P926+R926+T926+V926+X926+Z926+AB926+AD926+AF926+AH926</f>
        <v>1701938032</v>
      </c>
      <c r="E926" s="263">
        <f>+SUM(D923:D926)</f>
        <v>1893114502</v>
      </c>
      <c r="F926" s="264">
        <f>G153</f>
        <v>501644538</v>
      </c>
      <c r="G926" s="263">
        <f>+SUM(F923:F926)</f>
        <v>501644538</v>
      </c>
      <c r="H926" s="264">
        <f>I153</f>
        <v>39534748</v>
      </c>
      <c r="I926" s="263">
        <f>+SUM(H923:H926)</f>
        <v>39534748</v>
      </c>
      <c r="J926" s="264">
        <f>K153</f>
        <v>18819266</v>
      </c>
      <c r="K926" s="263">
        <f>+SUM(J923:J926)</f>
        <v>18819266</v>
      </c>
      <c r="L926" s="264">
        <f>M153</f>
        <v>28553277</v>
      </c>
      <c r="M926" s="263">
        <f>+SUM(L923:L926)</f>
        <v>28553277</v>
      </c>
      <c r="N926" s="264">
        <f>O153</f>
        <v>94560007</v>
      </c>
      <c r="O926" s="263">
        <f>+SUM(N923:N926)</f>
        <v>112575914</v>
      </c>
      <c r="P926" s="264">
        <f>Q153</f>
        <v>132842224</v>
      </c>
      <c r="Q926" s="263">
        <f>+SUM(P923:P926)</f>
        <v>135086247</v>
      </c>
      <c r="R926" s="754">
        <f>S153</f>
        <v>65893767</v>
      </c>
      <c r="S926" s="263">
        <f>+SUM(R923:R926)</f>
        <v>65893767</v>
      </c>
      <c r="T926" s="264">
        <f>U153</f>
        <v>144313115</v>
      </c>
      <c r="U926" s="263">
        <f>+SUM(T923:T926)</f>
        <v>144313115</v>
      </c>
      <c r="V926" s="264">
        <f>W153</f>
        <v>190334120</v>
      </c>
      <c r="W926" s="263">
        <f>+SUM(V923:V926)</f>
        <v>190334120</v>
      </c>
      <c r="X926" s="264">
        <f>Y153</f>
        <v>14454441</v>
      </c>
      <c r="Y926" s="263">
        <f>+SUM(X923:X926)</f>
        <v>14454441</v>
      </c>
      <c r="Z926" s="264">
        <f>AA153</f>
        <v>97177368</v>
      </c>
      <c r="AA926" s="263">
        <f>+SUM(Z923:Z926)</f>
        <v>129982266</v>
      </c>
      <c r="AB926" s="264">
        <f>AC153</f>
        <v>54541538</v>
      </c>
      <c r="AC926" s="263">
        <f>+SUM(AB923:AB926)</f>
        <v>54541538</v>
      </c>
      <c r="AD926" s="264">
        <f>AE153</f>
        <v>68656235</v>
      </c>
      <c r="AE926" s="263">
        <f>+SUM(AD923:AD926)</f>
        <v>68656235</v>
      </c>
      <c r="AF926" s="264">
        <f>AG153</f>
        <v>244745414</v>
      </c>
      <c r="AG926" s="263">
        <f>+SUM(AF923:AF926)</f>
        <v>370509951</v>
      </c>
      <c r="AH926" s="264">
        <f>AI153</f>
        <v>5867974</v>
      </c>
      <c r="AI926" s="263">
        <f>+SUM(AH923:AH926)</f>
        <v>18215079</v>
      </c>
    </row>
    <row r="927" spans="2:35">
      <c r="B927" s="262"/>
      <c r="C927" s="471"/>
      <c r="D927" s="262"/>
      <c r="E927" s="263"/>
      <c r="F927" s="269"/>
      <c r="G927" s="263"/>
      <c r="H927" s="269"/>
      <c r="I927" s="263"/>
      <c r="J927" s="269"/>
      <c r="K927" s="263"/>
      <c r="L927" s="269"/>
      <c r="M927" s="263"/>
      <c r="N927" s="269"/>
      <c r="O927" s="263"/>
      <c r="P927" s="269"/>
      <c r="Q927" s="263"/>
      <c r="R927" s="269"/>
      <c r="S927" s="263"/>
      <c r="T927" s="269"/>
      <c r="U927" s="263"/>
      <c r="V927" s="269"/>
      <c r="W927" s="263"/>
      <c r="X927" s="269"/>
      <c r="Y927" s="263"/>
      <c r="Z927" s="269"/>
      <c r="AA927" s="263"/>
      <c r="AB927" s="269"/>
      <c r="AC927" s="263"/>
      <c r="AD927" s="269"/>
      <c r="AE927" s="263"/>
      <c r="AF927" s="269"/>
      <c r="AG927" s="263"/>
      <c r="AH927" s="269"/>
      <c r="AI927" s="263"/>
    </row>
    <row r="928" spans="2:35">
      <c r="B928" s="262" t="s">
        <v>643</v>
      </c>
      <c r="C928" s="471">
        <v>5</v>
      </c>
      <c r="D928" s="262"/>
      <c r="E928" s="263"/>
      <c r="F928" s="269"/>
      <c r="G928" s="263"/>
      <c r="H928" s="269"/>
      <c r="I928" s="263"/>
      <c r="J928" s="269"/>
      <c r="K928" s="263"/>
      <c r="L928" s="269"/>
      <c r="M928" s="263"/>
      <c r="N928" s="269"/>
      <c r="O928" s="263"/>
      <c r="P928" s="269"/>
      <c r="Q928" s="263"/>
      <c r="R928" s="269"/>
      <c r="S928" s="263"/>
      <c r="T928" s="269"/>
      <c r="U928" s="263"/>
      <c r="V928" s="269"/>
      <c r="W928" s="263"/>
      <c r="X928" s="269"/>
      <c r="Y928" s="263"/>
      <c r="Z928" s="269"/>
      <c r="AA928" s="263"/>
      <c r="AB928" s="269"/>
      <c r="AC928" s="263"/>
      <c r="AD928" s="269"/>
      <c r="AE928" s="263"/>
      <c r="AF928" s="269"/>
      <c r="AG928" s="263"/>
      <c r="AH928" s="269"/>
      <c r="AI928" s="263"/>
    </row>
    <row r="929" spans="2:35">
      <c r="B929" s="262" t="s">
        <v>657</v>
      </c>
      <c r="C929" s="471">
        <v>5.0999999999999996</v>
      </c>
      <c r="D929" s="262">
        <f>F929+H929+J929+L929+N929+P929+R929+T929+V929+X929+Z929+AB929+AD929+AF929+AH929</f>
        <v>14782914803</v>
      </c>
      <c r="E929" s="263"/>
      <c r="F929" s="269">
        <f>G168</f>
        <v>14364763194</v>
      </c>
      <c r="G929" s="263"/>
      <c r="H929" s="269">
        <f>I168</f>
        <v>0</v>
      </c>
      <c r="I929" s="263"/>
      <c r="J929" s="269">
        <f>K168</f>
        <v>28267771</v>
      </c>
      <c r="K929" s="263"/>
      <c r="L929" s="269">
        <f>M168</f>
        <v>11797111</v>
      </c>
      <c r="M929" s="263"/>
      <c r="N929" s="269">
        <f>O168</f>
        <v>595</v>
      </c>
      <c r="O929" s="263"/>
      <c r="P929" s="269">
        <f>Q168</f>
        <v>0</v>
      </c>
      <c r="Q929" s="263"/>
      <c r="R929" s="269">
        <f>S168</f>
        <v>400415</v>
      </c>
      <c r="S929" s="263"/>
      <c r="T929" s="269">
        <f>U168</f>
        <v>16044923</v>
      </c>
      <c r="U929" s="263"/>
      <c r="V929" s="269">
        <f>W168</f>
        <v>58741513</v>
      </c>
      <c r="W929" s="263"/>
      <c r="X929" s="269">
        <f>Y168</f>
        <v>456748</v>
      </c>
      <c r="Y929" s="263"/>
      <c r="Z929" s="269">
        <f>AA168</f>
        <v>295540</v>
      </c>
      <c r="AA929" s="263"/>
      <c r="AB929" s="269">
        <f>AC168</f>
        <v>0</v>
      </c>
      <c r="AC929" s="263"/>
      <c r="AD929" s="269">
        <f>AE168</f>
        <v>0</v>
      </c>
      <c r="AE929" s="263"/>
      <c r="AF929" s="269">
        <f>AG168</f>
        <v>302146993</v>
      </c>
      <c r="AG929" s="263"/>
      <c r="AH929" s="269">
        <f>AI168</f>
        <v>0</v>
      </c>
      <c r="AI929" s="263"/>
    </row>
    <row r="930" spans="2:35">
      <c r="B930" s="262" t="s">
        <v>658</v>
      </c>
      <c r="C930" s="471">
        <v>5.2</v>
      </c>
      <c r="D930" s="262">
        <f>F930+H930+J930+L930+N930+P930+R930+T930+V930+X930+Z930+AB930+AD930+AF930+AH930</f>
        <v>26704047305</v>
      </c>
      <c r="E930" s="263"/>
      <c r="F930" s="269">
        <f>G182</f>
        <v>884713096</v>
      </c>
      <c r="G930" s="263"/>
      <c r="H930" s="269">
        <f>I182</f>
        <v>3306999</v>
      </c>
      <c r="I930" s="263"/>
      <c r="J930" s="269">
        <f>K182</f>
        <v>3902658718</v>
      </c>
      <c r="K930" s="263"/>
      <c r="L930" s="269">
        <f>M182</f>
        <v>5862108314</v>
      </c>
      <c r="M930" s="263"/>
      <c r="N930" s="269">
        <f>O182</f>
        <v>948498</v>
      </c>
      <c r="O930" s="263"/>
      <c r="P930" s="269">
        <f>Q182</f>
        <v>1345335786</v>
      </c>
      <c r="Q930" s="263"/>
      <c r="R930" s="269">
        <f>S182</f>
        <v>11740362</v>
      </c>
      <c r="S930" s="263"/>
      <c r="T930" s="269">
        <f>U182</f>
        <v>6582087210</v>
      </c>
      <c r="U930" s="263"/>
      <c r="V930" s="269">
        <f>W182</f>
        <v>1943682112</v>
      </c>
      <c r="W930" s="263"/>
      <c r="X930" s="269">
        <f>Y182</f>
        <v>56634</v>
      </c>
      <c r="Y930" s="263"/>
      <c r="Z930" s="269">
        <f>AA182</f>
        <v>3624516215</v>
      </c>
      <c r="AA930" s="263"/>
      <c r="AB930" s="269">
        <f>AC182</f>
        <v>24824577</v>
      </c>
      <c r="AC930" s="263"/>
      <c r="AD930" s="269">
        <f>AE182</f>
        <v>724128476</v>
      </c>
      <c r="AE930" s="263"/>
      <c r="AF930" s="269">
        <f>AG182</f>
        <v>1793940308</v>
      </c>
      <c r="AG930" s="263"/>
      <c r="AH930" s="269">
        <f>AI182</f>
        <v>0</v>
      </c>
      <c r="AI930" s="263"/>
    </row>
    <row r="931" spans="2:35">
      <c r="B931" s="262" t="s">
        <v>659</v>
      </c>
      <c r="C931" s="471">
        <v>5.3</v>
      </c>
      <c r="D931" s="262">
        <f>F931+H931+J931+L931+N931+P931+R931+T931+V931+X931+Z931+AB931+AD931+AF931+AH931</f>
        <v>8994191881</v>
      </c>
      <c r="E931" s="263"/>
      <c r="F931" s="269">
        <f>G211</f>
        <v>-8032867922</v>
      </c>
      <c r="G931" s="263"/>
      <c r="H931" s="269">
        <f>I211</f>
        <v>500478304</v>
      </c>
      <c r="I931" s="263"/>
      <c r="J931" s="269">
        <f>K211</f>
        <v>-995941625</v>
      </c>
      <c r="K931" s="263"/>
      <c r="L931" s="269">
        <f>M211</f>
        <v>2041223393</v>
      </c>
      <c r="M931" s="263"/>
      <c r="N931" s="269">
        <f>O211</f>
        <v>-29215698</v>
      </c>
      <c r="O931" s="263"/>
      <c r="P931" s="269">
        <f>Q211</f>
        <v>4664770595</v>
      </c>
      <c r="Q931" s="263"/>
      <c r="R931" s="269">
        <f>S211</f>
        <v>109199611</v>
      </c>
      <c r="S931" s="263"/>
      <c r="T931" s="269">
        <f>U211</f>
        <v>6325470827</v>
      </c>
      <c r="U931" s="263"/>
      <c r="V931" s="269">
        <f>W211</f>
        <v>1007674073</v>
      </c>
      <c r="W931" s="263"/>
      <c r="X931" s="269">
        <f>Y211</f>
        <v>152008541</v>
      </c>
      <c r="Y931" s="263"/>
      <c r="Z931" s="269">
        <f>AA211</f>
        <v>520976990</v>
      </c>
      <c r="AA931" s="263"/>
      <c r="AB931" s="269">
        <f>AC211</f>
        <v>-13047535</v>
      </c>
      <c r="AC931" s="263"/>
      <c r="AD931" s="269">
        <f>AE211</f>
        <v>1952772599</v>
      </c>
      <c r="AE931" s="263"/>
      <c r="AF931" s="269">
        <f>AG211</f>
        <v>795368688</v>
      </c>
      <c r="AG931" s="263"/>
      <c r="AH931" s="269">
        <f>AI211</f>
        <v>-4678960</v>
      </c>
      <c r="AI931" s="263"/>
    </row>
    <row r="932" spans="2:35" ht="12" thickBot="1">
      <c r="B932" s="262" t="s">
        <v>660</v>
      </c>
      <c r="C932" s="471">
        <v>5.4</v>
      </c>
      <c r="D932" s="264">
        <f>F932+H932+J932+L932+N932+P932+R932+T932+V932+X932+Z932+AB932+AD932+AF932+AH932</f>
        <v>1198679298</v>
      </c>
      <c r="E932" s="263">
        <f>+SUM(D929:D932)</f>
        <v>51679833287</v>
      </c>
      <c r="F932" s="264">
        <f>G236</f>
        <v>1039670581</v>
      </c>
      <c r="G932" s="263">
        <f>+SUM(F929:F932)</f>
        <v>8256278949</v>
      </c>
      <c r="H932" s="264">
        <f>I236</f>
        <v>4813128</v>
      </c>
      <c r="I932" s="263">
        <f>+SUM(H929:H932)</f>
        <v>508598431</v>
      </c>
      <c r="J932" s="264">
        <f>K236</f>
        <v>3120989</v>
      </c>
      <c r="K932" s="263">
        <f>+SUM(J929:J932)</f>
        <v>2938105853</v>
      </c>
      <c r="L932" s="264">
        <f>M236</f>
        <v>5731142</v>
      </c>
      <c r="M932" s="263">
        <f>+SUM(L929:L932)</f>
        <v>7920859960</v>
      </c>
      <c r="N932" s="264">
        <f>O236</f>
        <v>9926328</v>
      </c>
      <c r="O932" s="263">
        <f>+SUM(N929:N932)</f>
        <v>-18340277</v>
      </c>
      <c r="P932" s="264">
        <f>Q236</f>
        <v>18829816</v>
      </c>
      <c r="Q932" s="263">
        <f>+SUM(P929:P932)</f>
        <v>6028936197</v>
      </c>
      <c r="R932" s="754">
        <f>S236</f>
        <v>7052863</v>
      </c>
      <c r="S932" s="263">
        <f>+SUM(R929:R932)</f>
        <v>128393251</v>
      </c>
      <c r="T932" s="264">
        <f>U236</f>
        <v>20155863</v>
      </c>
      <c r="U932" s="263">
        <f>+SUM(T929:T932)</f>
        <v>12943758823</v>
      </c>
      <c r="V932" s="264">
        <f>W236</f>
        <v>21726954</v>
      </c>
      <c r="W932" s="263">
        <f>+SUM(V929:V932)</f>
        <v>3031824652</v>
      </c>
      <c r="X932" s="264">
        <f>Y236</f>
        <v>2276890</v>
      </c>
      <c r="Y932" s="263">
        <f>+SUM(X929:X932)</f>
        <v>154798813</v>
      </c>
      <c r="Z932" s="264">
        <f>AA236</f>
        <v>11264776</v>
      </c>
      <c r="AA932" s="263">
        <f>+SUM(Z929:Z932)</f>
        <v>4157053521</v>
      </c>
      <c r="AB932" s="264">
        <f>AC236</f>
        <v>11753472</v>
      </c>
      <c r="AC932" s="263">
        <f>+SUM(AB929:AB932)</f>
        <v>23530514</v>
      </c>
      <c r="AD932" s="264">
        <f>AE236</f>
        <v>12738717</v>
      </c>
      <c r="AE932" s="263">
        <f>+SUM(AD929:AD932)</f>
        <v>2689639792</v>
      </c>
      <c r="AF932" s="264">
        <f>AG236</f>
        <v>27755500</v>
      </c>
      <c r="AG932" s="263">
        <f>+SUM(AF929:AF932)</f>
        <v>2919211489</v>
      </c>
      <c r="AH932" s="264">
        <f>AI236</f>
        <v>1862279</v>
      </c>
      <c r="AI932" s="263">
        <f>+SUM(AH929:AH932)</f>
        <v>-2816681</v>
      </c>
    </row>
    <row r="933" spans="2:35" ht="12" thickBot="1">
      <c r="B933" s="262"/>
      <c r="C933" s="471"/>
      <c r="D933" s="264"/>
      <c r="E933" s="265"/>
      <c r="F933" s="269"/>
      <c r="G933" s="263"/>
      <c r="H933" s="269"/>
      <c r="I933" s="263"/>
      <c r="J933" s="269"/>
      <c r="K933" s="263"/>
      <c r="L933" s="269"/>
      <c r="M933" s="263"/>
      <c r="N933" s="269"/>
      <c r="O933" s="263"/>
      <c r="P933" s="269"/>
      <c r="Q933" s="263"/>
      <c r="R933" s="269"/>
      <c r="S933" s="263"/>
      <c r="T933" s="269"/>
      <c r="U933" s="263"/>
      <c r="V933" s="269"/>
      <c r="W933" s="263"/>
      <c r="X933" s="269"/>
      <c r="Y933" s="263"/>
      <c r="Z933" s="269"/>
      <c r="AA933" s="263"/>
      <c r="AB933" s="269"/>
      <c r="AC933" s="263"/>
      <c r="AD933" s="269"/>
      <c r="AE933" s="263"/>
      <c r="AF933" s="269"/>
      <c r="AG933" s="263"/>
      <c r="AH933" s="269"/>
      <c r="AI933" s="263"/>
    </row>
    <row r="934" spans="2:35" ht="12" thickBot="1">
      <c r="B934" s="473" t="s">
        <v>661</v>
      </c>
      <c r="C934" s="474"/>
      <c r="D934" s="270"/>
      <c r="E934" s="460">
        <f>+SUM(E915:E933)</f>
        <v>66980723581</v>
      </c>
      <c r="F934" s="270"/>
      <c r="G934" s="271">
        <f>+SUM(G915:G933)</f>
        <v>22165010953</v>
      </c>
      <c r="H934" s="270"/>
      <c r="I934" s="271">
        <f>+SUM(I915:I933)</f>
        <v>548133179</v>
      </c>
      <c r="J934" s="270"/>
      <c r="K934" s="271">
        <f>+SUM(K915:K933)</f>
        <v>2956925119</v>
      </c>
      <c r="L934" s="270"/>
      <c r="M934" s="271">
        <f>+SUM(M915:M933)</f>
        <v>7949413237</v>
      </c>
      <c r="N934" s="270"/>
      <c r="O934" s="271">
        <f>+SUM(O915:O933)</f>
        <v>94235637</v>
      </c>
      <c r="P934" s="270"/>
      <c r="Q934" s="271">
        <f>+SUM(Q915:Q933)</f>
        <v>6164022444</v>
      </c>
      <c r="R934" s="270"/>
      <c r="S934" s="271">
        <f>+SUM(S915:S933)</f>
        <v>194287018</v>
      </c>
      <c r="T934" s="270"/>
      <c r="U934" s="271">
        <f>+SUM(U915:U933)</f>
        <v>13088071938</v>
      </c>
      <c r="V934" s="270"/>
      <c r="W934" s="271">
        <f>+SUM(W915:W933)</f>
        <v>3222158772</v>
      </c>
      <c r="X934" s="270"/>
      <c r="Y934" s="271">
        <f>+SUM(Y915:Y933)</f>
        <v>169253254</v>
      </c>
      <c r="Z934" s="270"/>
      <c r="AA934" s="271">
        <f>+SUM(AA915:AA933)</f>
        <v>4287035787</v>
      </c>
      <c r="AB934" s="270"/>
      <c r="AC934" s="271">
        <f>+SUM(AC915:AC933)</f>
        <v>78072052</v>
      </c>
      <c r="AD934" s="270"/>
      <c r="AE934" s="271">
        <f>+SUM(AE915:AE933)</f>
        <v>2758296027</v>
      </c>
      <c r="AF934" s="270"/>
      <c r="AG934" s="271">
        <f>+SUM(AG915:AG933)</f>
        <v>3289721440</v>
      </c>
      <c r="AH934" s="270"/>
      <c r="AI934" s="271">
        <f>+SUM(AI915:AI933)</f>
        <v>16086724</v>
      </c>
    </row>
    <row r="935" spans="2:35">
      <c r="B935" s="475" t="s">
        <v>662</v>
      </c>
      <c r="C935" s="471"/>
      <c r="D935" s="260"/>
      <c r="E935" s="261"/>
      <c r="F935" s="260"/>
      <c r="G935" s="261"/>
      <c r="H935" s="260"/>
      <c r="I935" s="261"/>
      <c r="J935" s="260"/>
      <c r="K935" s="261"/>
      <c r="L935" s="260"/>
      <c r="M935" s="261"/>
      <c r="N935" s="260"/>
      <c r="O935" s="261"/>
      <c r="P935" s="260"/>
      <c r="Q935" s="261"/>
      <c r="R935" s="260"/>
      <c r="S935" s="261"/>
      <c r="T935" s="260"/>
      <c r="U935" s="261"/>
      <c r="V935" s="260"/>
      <c r="W935" s="261"/>
      <c r="X935" s="260"/>
      <c r="Y935" s="261"/>
      <c r="Z935" s="260"/>
      <c r="AA935" s="261"/>
      <c r="AB935" s="260"/>
      <c r="AC935" s="261"/>
      <c r="AD935" s="260"/>
      <c r="AE935" s="261"/>
      <c r="AF935" s="260"/>
      <c r="AG935" s="261"/>
      <c r="AH935" s="260"/>
      <c r="AI935" s="261"/>
    </row>
    <row r="936" spans="2:35">
      <c r="B936" s="476" t="s">
        <v>663</v>
      </c>
      <c r="C936" s="471">
        <v>6</v>
      </c>
      <c r="D936" s="262"/>
      <c r="E936" s="263"/>
      <c r="F936" s="262"/>
      <c r="G936" s="263"/>
      <c r="H936" s="262"/>
      <c r="I936" s="263"/>
      <c r="J936" s="262"/>
      <c r="K936" s="263"/>
      <c r="L936" s="262"/>
      <c r="M936" s="263"/>
      <c r="N936" s="262"/>
      <c r="O936" s="263"/>
      <c r="P936" s="262"/>
      <c r="Q936" s="263"/>
      <c r="R936" s="262"/>
      <c r="S936" s="263"/>
      <c r="T936" s="262"/>
      <c r="U936" s="263"/>
      <c r="V936" s="262"/>
      <c r="W936" s="263"/>
      <c r="X936" s="262"/>
      <c r="Y936" s="263"/>
      <c r="Z936" s="262"/>
      <c r="AA936" s="263"/>
      <c r="AB936" s="262"/>
      <c r="AC936" s="263"/>
      <c r="AD936" s="262"/>
      <c r="AE936" s="263"/>
      <c r="AF936" s="262"/>
      <c r="AG936" s="263"/>
      <c r="AH936" s="262"/>
      <c r="AI936" s="263"/>
    </row>
    <row r="937" spans="2:35">
      <c r="B937" s="476" t="s">
        <v>664</v>
      </c>
      <c r="C937" s="477">
        <v>6.1</v>
      </c>
      <c r="D937" s="262"/>
      <c r="E937" s="263"/>
      <c r="F937" s="262"/>
      <c r="G937" s="263"/>
      <c r="H937" s="262"/>
      <c r="I937" s="263"/>
      <c r="J937" s="262"/>
      <c r="K937" s="263"/>
      <c r="L937" s="262"/>
      <c r="M937" s="263"/>
      <c r="N937" s="262"/>
      <c r="O937" s="263"/>
      <c r="P937" s="262"/>
      <c r="Q937" s="263"/>
      <c r="R937" s="262"/>
      <c r="S937" s="263"/>
      <c r="T937" s="262"/>
      <c r="U937" s="263"/>
      <c r="V937" s="262"/>
      <c r="W937" s="263"/>
      <c r="X937" s="262"/>
      <c r="Y937" s="263"/>
      <c r="Z937" s="262"/>
      <c r="AA937" s="263"/>
      <c r="AB937" s="262"/>
      <c r="AC937" s="263"/>
      <c r="AD937" s="262"/>
      <c r="AE937" s="263"/>
      <c r="AF937" s="262"/>
      <c r="AG937" s="263"/>
      <c r="AH937" s="262"/>
      <c r="AI937" s="263"/>
    </row>
    <row r="938" spans="2:35">
      <c r="B938" s="476" t="s">
        <v>665</v>
      </c>
      <c r="C938" s="471" t="s">
        <v>666</v>
      </c>
      <c r="D938" s="262">
        <f>F938+H938+J938+L938+N938+P938+R938+T938+V938+X938+Z938+AB938+AD938+AF938+AH938</f>
        <v>864731843</v>
      </c>
      <c r="E938" s="263"/>
      <c r="F938" s="262">
        <v>38221496</v>
      </c>
      <c r="G938" s="263"/>
      <c r="H938" s="262">
        <v>470764318</v>
      </c>
      <c r="I938" s="263"/>
      <c r="J938" s="262">
        <v>7948791</v>
      </c>
      <c r="K938" s="263"/>
      <c r="L938" s="262">
        <v>2449008</v>
      </c>
      <c r="M938" s="263"/>
      <c r="N938" s="262">
        <v>6288513</v>
      </c>
      <c r="O938" s="263"/>
      <c r="P938" s="262">
        <v>48516202</v>
      </c>
      <c r="Q938" s="263"/>
      <c r="R938" s="262">
        <v>40482595</v>
      </c>
      <c r="S938" s="263"/>
      <c r="T938" s="262">
        <v>72637133</v>
      </c>
      <c r="U938" s="263"/>
      <c r="V938" s="262">
        <v>43577249</v>
      </c>
      <c r="W938" s="263"/>
      <c r="X938" s="262">
        <v>8105905</v>
      </c>
      <c r="Y938" s="263"/>
      <c r="Z938" s="262">
        <v>18190804</v>
      </c>
      <c r="AA938" s="263"/>
      <c r="AB938" s="262">
        <v>990145</v>
      </c>
      <c r="AC938" s="263"/>
      <c r="AD938" s="262">
        <v>14326008</v>
      </c>
      <c r="AE938" s="263"/>
      <c r="AF938" s="262">
        <v>82288289</v>
      </c>
      <c r="AG938" s="263"/>
      <c r="AH938" s="262">
        <v>9945387</v>
      </c>
      <c r="AI938" s="263"/>
    </row>
    <row r="939" spans="2:35">
      <c r="B939" s="476" t="s">
        <v>667</v>
      </c>
      <c r="C939" s="471" t="s">
        <v>668</v>
      </c>
      <c r="D939" s="262">
        <f t="shared" ref="D939:D945" si="64">F939+H939+J939+L939+N939+P939+R939+T939+V939+X939+Z939+AB939+AD939+AF939+AH939</f>
        <v>1644719</v>
      </c>
      <c r="E939" s="263"/>
      <c r="F939" s="262">
        <v>1644719</v>
      </c>
      <c r="G939" s="263"/>
      <c r="H939" s="262"/>
      <c r="I939" s="263"/>
      <c r="J939" s="262"/>
      <c r="K939" s="263"/>
      <c r="L939" s="262"/>
      <c r="M939" s="263"/>
      <c r="N939" s="262"/>
      <c r="O939" s="263"/>
      <c r="P939" s="262"/>
      <c r="Q939" s="263"/>
      <c r="R939" s="262"/>
      <c r="S939" s="263"/>
      <c r="T939" s="262"/>
      <c r="U939" s="263"/>
      <c r="V939" s="262"/>
      <c r="W939" s="263"/>
      <c r="X939" s="262"/>
      <c r="Y939" s="263"/>
      <c r="Z939" s="262"/>
      <c r="AA939" s="263"/>
      <c r="AB939" s="262"/>
      <c r="AC939" s="263"/>
      <c r="AD939" s="262"/>
      <c r="AE939" s="263"/>
      <c r="AF939" s="262"/>
      <c r="AG939" s="263"/>
      <c r="AH939" s="262"/>
      <c r="AI939" s="263"/>
    </row>
    <row r="940" spans="2:35">
      <c r="B940" s="476" t="s">
        <v>669</v>
      </c>
      <c r="C940" s="471" t="s">
        <v>670</v>
      </c>
      <c r="D940" s="262">
        <f t="shared" si="64"/>
        <v>54942469</v>
      </c>
      <c r="E940" s="263"/>
      <c r="F940" s="262">
        <v>54855731</v>
      </c>
      <c r="G940" s="263"/>
      <c r="H940" s="262"/>
      <c r="I940" s="263"/>
      <c r="J940" s="262"/>
      <c r="K940" s="263"/>
      <c r="L940" s="262"/>
      <c r="M940" s="263"/>
      <c r="N940" s="262"/>
      <c r="O940" s="263"/>
      <c r="P940" s="262"/>
      <c r="Q940" s="263"/>
      <c r="R940" s="262"/>
      <c r="S940" s="263"/>
      <c r="T940" s="262"/>
      <c r="U940" s="263"/>
      <c r="V940" s="262">
        <v>86738</v>
      </c>
      <c r="W940" s="263"/>
      <c r="X940" s="262"/>
      <c r="Y940" s="263"/>
      <c r="Z940" s="262"/>
      <c r="AA940" s="263"/>
      <c r="AB940" s="262"/>
      <c r="AC940" s="263"/>
      <c r="AD940" s="262"/>
      <c r="AE940" s="263"/>
      <c r="AF940" s="262"/>
      <c r="AG940" s="263"/>
      <c r="AH940" s="262"/>
      <c r="AI940" s="263"/>
    </row>
    <row r="941" spans="2:35">
      <c r="B941" s="476" t="s">
        <v>671</v>
      </c>
      <c r="C941" s="471" t="s">
        <v>672</v>
      </c>
      <c r="D941" s="262">
        <f t="shared" si="64"/>
        <v>0</v>
      </c>
      <c r="E941" s="263"/>
      <c r="F941" s="262"/>
      <c r="G941" s="263"/>
      <c r="H941" s="262"/>
      <c r="I941" s="263"/>
      <c r="J941" s="262"/>
      <c r="K941" s="263"/>
      <c r="L941" s="262"/>
      <c r="M941" s="263"/>
      <c r="N941" s="262"/>
      <c r="O941" s="263"/>
      <c r="P941" s="262"/>
      <c r="Q941" s="263"/>
      <c r="R941" s="262"/>
      <c r="S941" s="263"/>
      <c r="T941" s="262"/>
      <c r="U941" s="263"/>
      <c r="V941" s="262"/>
      <c r="W941" s="263"/>
      <c r="X941" s="262"/>
      <c r="Y941" s="263"/>
      <c r="Z941" s="262"/>
      <c r="AA941" s="263"/>
      <c r="AB941" s="262"/>
      <c r="AC941" s="263"/>
      <c r="AD941" s="262"/>
      <c r="AE941" s="263"/>
      <c r="AF941" s="262"/>
      <c r="AG941" s="263"/>
      <c r="AH941" s="262"/>
      <c r="AI941" s="263"/>
    </row>
    <row r="942" spans="2:35">
      <c r="B942" s="476" t="s">
        <v>673</v>
      </c>
      <c r="C942" s="471">
        <v>6.2</v>
      </c>
      <c r="D942" s="262">
        <f t="shared" si="64"/>
        <v>4697359320</v>
      </c>
      <c r="E942" s="263"/>
      <c r="F942" s="262">
        <f>G289</f>
        <v>4661049927</v>
      </c>
      <c r="G942" s="263"/>
      <c r="H942" s="262">
        <f>I289</f>
        <v>0</v>
      </c>
      <c r="I942" s="263"/>
      <c r="J942" s="262">
        <f>K289</f>
        <v>0</v>
      </c>
      <c r="K942" s="263"/>
      <c r="L942" s="262">
        <f>M289</f>
        <v>0</v>
      </c>
      <c r="M942" s="263"/>
      <c r="N942" s="262">
        <f>O289</f>
        <v>0</v>
      </c>
      <c r="O942" s="263"/>
      <c r="P942" s="262">
        <f>E247</f>
        <v>36309393</v>
      </c>
      <c r="Q942" s="263"/>
      <c r="R942" s="262">
        <f>S289</f>
        <v>0</v>
      </c>
      <c r="S942" s="263"/>
      <c r="T942" s="262">
        <f>U289</f>
        <v>0</v>
      </c>
      <c r="U942" s="263"/>
      <c r="V942" s="262">
        <f>W289</f>
        <v>0</v>
      </c>
      <c r="W942" s="263"/>
      <c r="X942" s="262">
        <f>Y289</f>
        <v>0</v>
      </c>
      <c r="Y942" s="263"/>
      <c r="Z942" s="262">
        <f>AA289</f>
        <v>0</v>
      </c>
      <c r="AA942" s="263"/>
      <c r="AB942" s="262">
        <f>AC289</f>
        <v>0</v>
      </c>
      <c r="AC942" s="263"/>
      <c r="AD942" s="262">
        <f>AE289</f>
        <v>0</v>
      </c>
      <c r="AE942" s="263"/>
      <c r="AF942" s="262">
        <f>AG289</f>
        <v>0</v>
      </c>
      <c r="AG942" s="263"/>
      <c r="AH942" s="262">
        <f>AI289</f>
        <v>0</v>
      </c>
      <c r="AI942" s="263"/>
    </row>
    <row r="943" spans="2:35">
      <c r="B943" s="476" t="s">
        <v>674</v>
      </c>
      <c r="C943" s="471">
        <v>6.3</v>
      </c>
      <c r="D943" s="262">
        <f t="shared" si="64"/>
        <v>1454240000</v>
      </c>
      <c r="E943" s="263"/>
      <c r="F943" s="262">
        <f>F306</f>
        <v>1454240000</v>
      </c>
      <c r="G943" s="263"/>
      <c r="H943" s="262">
        <v>0</v>
      </c>
      <c r="I943" s="263"/>
      <c r="J943" s="262">
        <f>H306</f>
        <v>0</v>
      </c>
      <c r="K943" s="263"/>
      <c r="L943" s="262">
        <f>J306</f>
        <v>0</v>
      </c>
      <c r="M943" s="263"/>
      <c r="N943" s="262">
        <f>L306</f>
        <v>0</v>
      </c>
      <c r="O943" s="263"/>
      <c r="P943" s="262">
        <f>N306</f>
        <v>0</v>
      </c>
      <c r="Q943" s="263"/>
      <c r="R943" s="262">
        <f>P306</f>
        <v>0</v>
      </c>
      <c r="S943" s="263"/>
      <c r="T943" s="262">
        <f>R306</f>
        <v>0</v>
      </c>
      <c r="U943" s="263"/>
      <c r="V943" s="262">
        <f>T306</f>
        <v>0</v>
      </c>
      <c r="W943" s="263"/>
      <c r="X943" s="262">
        <f>V306</f>
        <v>0</v>
      </c>
      <c r="Y943" s="263"/>
      <c r="Z943" s="262">
        <f>X306</f>
        <v>0</v>
      </c>
      <c r="AA943" s="263"/>
      <c r="AB943" s="262">
        <f>Z306</f>
        <v>0</v>
      </c>
      <c r="AC943" s="263"/>
      <c r="AD943" s="262">
        <f>AB306</f>
        <v>0</v>
      </c>
      <c r="AE943" s="263"/>
      <c r="AF943" s="262">
        <f>AD306</f>
        <v>0</v>
      </c>
      <c r="AG943" s="263"/>
      <c r="AH943" s="262">
        <f>AF306</f>
        <v>0</v>
      </c>
      <c r="AI943" s="263"/>
    </row>
    <row r="944" spans="2:35">
      <c r="B944" s="476" t="s">
        <v>675</v>
      </c>
      <c r="C944" s="471">
        <v>6.4</v>
      </c>
      <c r="D944" s="262">
        <f t="shared" si="64"/>
        <v>1129814713</v>
      </c>
      <c r="E944" s="263"/>
      <c r="F944" s="262">
        <f>G346</f>
        <v>350032265</v>
      </c>
      <c r="G944" s="263"/>
      <c r="H944" s="262">
        <f>I346</f>
        <v>9095720</v>
      </c>
      <c r="I944" s="263"/>
      <c r="J944" s="262">
        <f>K346</f>
        <v>9100058</v>
      </c>
      <c r="K944" s="263"/>
      <c r="L944" s="262">
        <f>M346</f>
        <v>9658773</v>
      </c>
      <c r="M944" s="263"/>
      <c r="N944" s="262">
        <f>O346</f>
        <v>18868663</v>
      </c>
      <c r="O944" s="263"/>
      <c r="P944" s="262">
        <f>Q346</f>
        <v>511611421</v>
      </c>
      <c r="Q944" s="263"/>
      <c r="R944" s="262">
        <f>S346</f>
        <v>5739003</v>
      </c>
      <c r="S944" s="263"/>
      <c r="T944" s="262">
        <f>U346</f>
        <v>35612566</v>
      </c>
      <c r="U944" s="263"/>
      <c r="V944" s="262">
        <f>W346</f>
        <v>16867259</v>
      </c>
      <c r="W944" s="263"/>
      <c r="X944" s="262">
        <f>Y346</f>
        <v>3047341</v>
      </c>
      <c r="Y944" s="263"/>
      <c r="Z944" s="262">
        <f>AA346</f>
        <v>58836414</v>
      </c>
      <c r="AA944" s="263"/>
      <c r="AB944" s="262">
        <f>AC346</f>
        <v>7611821</v>
      </c>
      <c r="AC944" s="263"/>
      <c r="AD944" s="262">
        <f>AE346</f>
        <v>20719120</v>
      </c>
      <c r="AE944" s="263"/>
      <c r="AF944" s="262">
        <f>AG346</f>
        <v>70762392</v>
      </c>
      <c r="AG944" s="263"/>
      <c r="AH944" s="262">
        <f>AI346</f>
        <v>2251897</v>
      </c>
      <c r="AI944" s="263"/>
    </row>
    <row r="945" spans="1:35" ht="12" thickBot="1">
      <c r="B945" s="476" t="s">
        <v>676</v>
      </c>
      <c r="C945" s="471">
        <v>6.5</v>
      </c>
      <c r="D945" s="264">
        <f t="shared" si="64"/>
        <v>17427510</v>
      </c>
      <c r="E945" s="265">
        <f>+SUM(D937:D945)</f>
        <v>8220160574</v>
      </c>
      <c r="F945" s="264">
        <f>G367</f>
        <v>649733</v>
      </c>
      <c r="G945" s="265">
        <f>+SUM(F937:F945)</f>
        <v>6560693871</v>
      </c>
      <c r="H945" s="264">
        <f>I367</f>
        <v>0</v>
      </c>
      <c r="I945" s="265">
        <f>+SUM(H937:H945)</f>
        <v>479860038</v>
      </c>
      <c r="J945" s="264">
        <f>K367</f>
        <v>0</v>
      </c>
      <c r="K945" s="265">
        <f>+SUM(J937:J945)</f>
        <v>17048849</v>
      </c>
      <c r="L945" s="264">
        <f>M367</f>
        <v>0</v>
      </c>
      <c r="M945" s="265">
        <f>+SUM(L937:L945)</f>
        <v>12107781</v>
      </c>
      <c r="N945" s="264">
        <f>O367</f>
        <v>0</v>
      </c>
      <c r="O945" s="265">
        <f>+SUM(N937:N945)</f>
        <v>25157176</v>
      </c>
      <c r="P945" s="264">
        <f>Q367</f>
        <v>0</v>
      </c>
      <c r="Q945" s="265">
        <f>+SUM(P937:P945)</f>
        <v>596437016</v>
      </c>
      <c r="R945" s="264">
        <f>S367</f>
        <v>0</v>
      </c>
      <c r="S945" s="265">
        <f>+SUM(R937:R945)</f>
        <v>46221598</v>
      </c>
      <c r="T945" s="264">
        <f>U367</f>
        <v>0</v>
      </c>
      <c r="U945" s="265">
        <f>+SUM(T937:T945)</f>
        <v>108249699</v>
      </c>
      <c r="V945" s="264">
        <f>W367</f>
        <v>0</v>
      </c>
      <c r="W945" s="265">
        <f>+SUM(V937:V945)</f>
        <v>60531246</v>
      </c>
      <c r="X945" s="264">
        <f>Y367</f>
        <v>0</v>
      </c>
      <c r="Y945" s="265">
        <f>+SUM(X937:X945)</f>
        <v>11153246</v>
      </c>
      <c r="Z945" s="264">
        <f>AA367</f>
        <v>10510458</v>
      </c>
      <c r="AA945" s="265">
        <f>+SUM(Z937:Z945)</f>
        <v>87537676</v>
      </c>
      <c r="AB945" s="264">
        <f>AC367</f>
        <v>586120</v>
      </c>
      <c r="AC945" s="265">
        <f>+SUM(AB937:AB945)</f>
        <v>9188086</v>
      </c>
      <c r="AD945" s="264">
        <f>AE367</f>
        <v>5681199</v>
      </c>
      <c r="AE945" s="265">
        <f>+SUM(AD937:AD945)</f>
        <v>40726327</v>
      </c>
      <c r="AF945" s="264">
        <f>AG367</f>
        <v>0</v>
      </c>
      <c r="AG945" s="265">
        <f>+SUM(AF937:AF945)</f>
        <v>153050681</v>
      </c>
      <c r="AH945" s="264">
        <f>AI367</f>
        <v>0</v>
      </c>
      <c r="AI945" s="265">
        <f>+SUM(AH937:AH945)</f>
        <v>12197284</v>
      </c>
    </row>
    <row r="946" spans="1:35">
      <c r="B946" s="476"/>
      <c r="C946" s="471"/>
      <c r="D946" s="260"/>
      <c r="E946" s="261"/>
      <c r="F946" s="260"/>
      <c r="G946" s="261"/>
      <c r="H946" s="260"/>
      <c r="I946" s="261"/>
      <c r="J946" s="260"/>
      <c r="K946" s="261"/>
      <c r="L946" s="260"/>
      <c r="M946" s="261"/>
      <c r="N946" s="260"/>
      <c r="O946" s="261"/>
      <c r="P946" s="260"/>
      <c r="Q946" s="261"/>
      <c r="R946" s="260"/>
      <c r="S946" s="261"/>
      <c r="T946" s="260"/>
      <c r="U946" s="261"/>
      <c r="V946" s="260"/>
      <c r="W946" s="261"/>
      <c r="X946" s="260"/>
      <c r="Y946" s="261"/>
      <c r="Z946" s="260"/>
      <c r="AA946" s="261"/>
      <c r="AB946" s="260"/>
      <c r="AC946" s="261"/>
      <c r="AD946" s="260"/>
      <c r="AE946" s="261"/>
      <c r="AF946" s="260"/>
      <c r="AG946" s="261"/>
      <c r="AH946" s="260"/>
      <c r="AI946" s="261"/>
    </row>
    <row r="947" spans="1:35">
      <c r="B947" s="476" t="s">
        <v>677</v>
      </c>
      <c r="C947" s="471">
        <v>7</v>
      </c>
      <c r="D947" s="262"/>
      <c r="E947" s="263"/>
      <c r="F947" s="262"/>
      <c r="G947" s="263"/>
      <c r="H947" s="262"/>
      <c r="I947" s="263"/>
      <c r="J947" s="262"/>
      <c r="K947" s="263"/>
      <c r="L947" s="262"/>
      <c r="M947" s="263"/>
      <c r="N947" s="262"/>
      <c r="O947" s="263"/>
      <c r="P947" s="262"/>
      <c r="Q947" s="263"/>
      <c r="R947" s="262"/>
      <c r="S947" s="263"/>
      <c r="T947" s="262"/>
      <c r="U947" s="263"/>
      <c r="V947" s="262"/>
      <c r="W947" s="263"/>
      <c r="X947" s="262"/>
      <c r="Y947" s="263"/>
      <c r="Z947" s="262"/>
      <c r="AA947" s="263"/>
      <c r="AB947" s="262"/>
      <c r="AC947" s="263"/>
      <c r="AD947" s="262"/>
      <c r="AE947" s="263"/>
      <c r="AF947" s="262"/>
      <c r="AG947" s="263"/>
      <c r="AH947" s="262"/>
      <c r="AI947" s="263"/>
    </row>
    <row r="948" spans="1:35">
      <c r="B948" s="476" t="s">
        <v>678</v>
      </c>
      <c r="C948" s="471">
        <v>7.1</v>
      </c>
      <c r="D948" s="262">
        <f t="shared" ref="D948:D953" si="65">F948+H948+J948+L948+N948+P948+R948+T948+V948+X948+Z948+AB948+AD948+AF948+AH948</f>
        <v>150028200</v>
      </c>
      <c r="E948" s="263"/>
      <c r="F948" s="262">
        <f>G392</f>
        <v>150028200</v>
      </c>
      <c r="G948" s="263"/>
      <c r="H948" s="262">
        <f>I392</f>
        <v>0</v>
      </c>
      <c r="I948" s="263"/>
      <c r="J948" s="262">
        <f>K392</f>
        <v>0</v>
      </c>
      <c r="K948" s="263"/>
      <c r="L948" s="262">
        <f>M392</f>
        <v>0</v>
      </c>
      <c r="M948" s="263"/>
      <c r="N948" s="262">
        <f>O392</f>
        <v>0</v>
      </c>
      <c r="O948" s="263"/>
      <c r="P948" s="262">
        <f>Q392</f>
        <v>0</v>
      </c>
      <c r="Q948" s="263"/>
      <c r="R948" s="262">
        <f>S392</f>
        <v>0</v>
      </c>
      <c r="S948" s="263"/>
      <c r="T948" s="262">
        <f>U392</f>
        <v>0</v>
      </c>
      <c r="U948" s="263"/>
      <c r="V948" s="262">
        <f>W392</f>
        <v>0</v>
      </c>
      <c r="W948" s="263"/>
      <c r="X948" s="262">
        <f>Y392</f>
        <v>0</v>
      </c>
      <c r="Y948" s="263"/>
      <c r="Z948" s="262">
        <f>AA392</f>
        <v>0</v>
      </c>
      <c r="AA948" s="263"/>
      <c r="AB948" s="262">
        <f>AC392</f>
        <v>0</v>
      </c>
      <c r="AC948" s="263"/>
      <c r="AD948" s="262">
        <f>AE392</f>
        <v>0</v>
      </c>
      <c r="AE948" s="263"/>
      <c r="AF948" s="262">
        <f>AG392</f>
        <v>0</v>
      </c>
      <c r="AG948" s="263"/>
      <c r="AH948" s="262">
        <f>AI392</f>
        <v>0</v>
      </c>
      <c r="AI948" s="263"/>
    </row>
    <row r="949" spans="1:35">
      <c r="B949" s="476" t="s">
        <v>679</v>
      </c>
      <c r="C949" s="471">
        <v>7.2</v>
      </c>
      <c r="D949" s="262">
        <f t="shared" si="65"/>
        <v>8888243291</v>
      </c>
      <c r="E949" s="263"/>
      <c r="F949" s="262">
        <f>G412</f>
        <v>806678</v>
      </c>
      <c r="G949" s="263"/>
      <c r="H949" s="262">
        <f>I412</f>
        <v>54690507</v>
      </c>
      <c r="I949" s="263"/>
      <c r="J949" s="262">
        <f>K412</f>
        <v>777223549</v>
      </c>
      <c r="K949" s="263"/>
      <c r="L949" s="262">
        <f>M412</f>
        <v>1226118774</v>
      </c>
      <c r="M949" s="263"/>
      <c r="N949" s="262">
        <f>O412</f>
        <v>40771149</v>
      </c>
      <c r="O949" s="263"/>
      <c r="P949" s="262">
        <f>Q412</f>
        <v>691620535</v>
      </c>
      <c r="Q949" s="263"/>
      <c r="R949" s="262">
        <f>S412</f>
        <v>37478145</v>
      </c>
      <c r="S949" s="263"/>
      <c r="T949" s="262">
        <f>U412</f>
        <v>3506721399</v>
      </c>
      <c r="U949" s="263"/>
      <c r="V949" s="262">
        <f>W412</f>
        <v>1015774835</v>
      </c>
      <c r="W949" s="263"/>
      <c r="X949" s="262">
        <f>Y412</f>
        <v>42445999</v>
      </c>
      <c r="Y949" s="263"/>
      <c r="Z949" s="262">
        <f>AA412</f>
        <v>138934772</v>
      </c>
      <c r="AA949" s="263"/>
      <c r="AB949" s="262">
        <f>AC412</f>
        <v>43861865</v>
      </c>
      <c r="AC949" s="263"/>
      <c r="AD949" s="262">
        <f>AE412</f>
        <v>967812074</v>
      </c>
      <c r="AE949" s="263"/>
      <c r="AF949" s="262">
        <f>AG412</f>
        <v>343983010</v>
      </c>
      <c r="AG949" s="263"/>
      <c r="AH949" s="262">
        <f>AI412</f>
        <v>0</v>
      </c>
      <c r="AI949" s="263"/>
    </row>
    <row r="950" spans="1:35">
      <c r="B950" s="476" t="s">
        <v>680</v>
      </c>
      <c r="C950" s="471">
        <v>7.3</v>
      </c>
      <c r="D950" s="262">
        <f t="shared" si="65"/>
        <v>22240947232</v>
      </c>
      <c r="E950" s="263"/>
      <c r="F950" s="262">
        <f>G450</f>
        <v>15535818</v>
      </c>
      <c r="G950" s="263"/>
      <c r="H950" s="262">
        <f>I450</f>
        <v>5487064</v>
      </c>
      <c r="I950" s="263"/>
      <c r="J950" s="262">
        <f>K450</f>
        <v>1087960331</v>
      </c>
      <c r="K950" s="263"/>
      <c r="L950" s="262">
        <f>M450</f>
        <v>2983830542</v>
      </c>
      <c r="M950" s="263"/>
      <c r="N950" s="262">
        <f>O450</f>
        <v>0</v>
      </c>
      <c r="O950" s="263"/>
      <c r="P950" s="262">
        <f>Q450</f>
        <v>4000784107</v>
      </c>
      <c r="Q950" s="263"/>
      <c r="R950" s="262">
        <f>S450</f>
        <v>32503</v>
      </c>
      <c r="S950" s="263"/>
      <c r="T950" s="262">
        <f>U450</f>
        <v>8117788951</v>
      </c>
      <c r="U950" s="263"/>
      <c r="V950" s="262">
        <f>W450</f>
        <v>661171294</v>
      </c>
      <c r="W950" s="263"/>
      <c r="X950" s="262">
        <f>Y450</f>
        <v>0</v>
      </c>
      <c r="Y950" s="263"/>
      <c r="Z950" s="262">
        <f>AA450</f>
        <v>3497699883</v>
      </c>
      <c r="AA950" s="263"/>
      <c r="AB950" s="262">
        <f>AC450</f>
        <v>30993</v>
      </c>
      <c r="AC950" s="263"/>
      <c r="AD950" s="262">
        <f>AE450</f>
        <v>159845373</v>
      </c>
      <c r="AE950" s="263"/>
      <c r="AF950" s="262">
        <f>AG450</f>
        <v>1710780373</v>
      </c>
      <c r="AG950" s="263"/>
      <c r="AH950" s="262">
        <f>AI450</f>
        <v>0</v>
      </c>
      <c r="AI950" s="263"/>
    </row>
    <row r="951" spans="1:35">
      <c r="B951" s="476" t="s">
        <v>681</v>
      </c>
      <c r="C951" s="471">
        <v>7.4</v>
      </c>
      <c r="D951" s="262">
        <f t="shared" si="65"/>
        <v>14600512502</v>
      </c>
      <c r="E951" s="263"/>
      <c r="F951" s="262">
        <f>G472</f>
        <v>13742992323</v>
      </c>
      <c r="G951" s="263"/>
      <c r="H951" s="262">
        <f>I472</f>
        <v>269779</v>
      </c>
      <c r="I951" s="263"/>
      <c r="J951" s="262">
        <f>K472</f>
        <v>35000</v>
      </c>
      <c r="K951" s="263"/>
      <c r="L951" s="262">
        <f>M472</f>
        <v>568983189</v>
      </c>
      <c r="M951" s="263"/>
      <c r="N951" s="262">
        <f>O472</f>
        <v>9652</v>
      </c>
      <c r="O951" s="263"/>
      <c r="P951" s="262">
        <f>Q472</f>
        <v>110373180</v>
      </c>
      <c r="Q951" s="263"/>
      <c r="R951" s="262">
        <f>S472</f>
        <v>3237796</v>
      </c>
      <c r="S951" s="263"/>
      <c r="T951" s="262">
        <f>U472</f>
        <v>535174</v>
      </c>
      <c r="U951" s="263"/>
      <c r="V951" s="262">
        <f>W472</f>
        <v>2916053</v>
      </c>
      <c r="W951" s="263"/>
      <c r="X951" s="262">
        <f>Y472</f>
        <v>32425717</v>
      </c>
      <c r="Y951" s="263"/>
      <c r="Z951" s="262">
        <f>AA472</f>
        <v>90537790</v>
      </c>
      <c r="AA951" s="263"/>
      <c r="AB951" s="262">
        <f>AC472</f>
        <v>6350024</v>
      </c>
      <c r="AC951" s="263"/>
      <c r="AD951" s="262">
        <f>AE472</f>
        <v>36716667</v>
      </c>
      <c r="AE951" s="263"/>
      <c r="AF951" s="262">
        <f>AG472</f>
        <v>4642983</v>
      </c>
      <c r="AG951" s="263"/>
      <c r="AH951" s="262">
        <f>AI472</f>
        <v>487175</v>
      </c>
      <c r="AI951" s="263"/>
    </row>
    <row r="952" spans="1:35">
      <c r="A952" s="301" t="s">
        <v>371</v>
      </c>
      <c r="B952" s="476" t="s">
        <v>682</v>
      </c>
      <c r="C952" s="471">
        <v>7.5</v>
      </c>
      <c r="D952" s="262">
        <f t="shared" si="65"/>
        <v>11141517495</v>
      </c>
      <c r="E952" s="263"/>
      <c r="F952" s="262">
        <f>G506</f>
        <v>1419938756</v>
      </c>
      <c r="G952" s="263"/>
      <c r="H952" s="262">
        <f>I506</f>
        <v>7825791</v>
      </c>
      <c r="I952" s="263"/>
      <c r="J952" s="262">
        <f>K506</f>
        <v>1074657390</v>
      </c>
      <c r="K952" s="263"/>
      <c r="L952" s="262">
        <f>M506</f>
        <v>3158193122</v>
      </c>
      <c r="M952" s="263"/>
      <c r="N952" s="262">
        <f>O506</f>
        <v>28297660</v>
      </c>
      <c r="O952" s="263"/>
      <c r="P952" s="262">
        <f>Q506</f>
        <v>723032528</v>
      </c>
      <c r="Q952" s="263"/>
      <c r="R952" s="262">
        <f>S506</f>
        <v>10166074</v>
      </c>
      <c r="S952" s="263"/>
      <c r="T952" s="262">
        <f>U506</f>
        <v>1330198716</v>
      </c>
      <c r="U952" s="263"/>
      <c r="V952" s="262">
        <f>W506</f>
        <v>1294682414</v>
      </c>
      <c r="W952" s="263"/>
      <c r="X952" s="262">
        <f>Y506</f>
        <v>9493016</v>
      </c>
      <c r="Y952" s="263"/>
      <c r="Z952" s="262">
        <f>AA506</f>
        <v>305104464</v>
      </c>
      <c r="AA952" s="263"/>
      <c r="AB952" s="262">
        <f>AC506</f>
        <v>18641084</v>
      </c>
      <c r="AC952" s="263"/>
      <c r="AD952" s="262">
        <f>AE506</f>
        <v>684089363</v>
      </c>
      <c r="AE952" s="263"/>
      <c r="AF952" s="262">
        <f>AG506</f>
        <v>1073794852</v>
      </c>
      <c r="AG952" s="263"/>
      <c r="AH952" s="262">
        <f>AI506</f>
        <v>3402265</v>
      </c>
      <c r="AI952" s="263"/>
    </row>
    <row r="953" spans="1:35" ht="12" thickBot="1">
      <c r="B953" s="467" t="s">
        <v>683</v>
      </c>
      <c r="C953" s="471">
        <v>7.6</v>
      </c>
      <c r="D953" s="264">
        <f t="shared" si="65"/>
        <v>1739314287</v>
      </c>
      <c r="E953" s="265">
        <f>+SUM(D948:D953)</f>
        <v>58760563007</v>
      </c>
      <c r="F953" s="264">
        <f>G519</f>
        <v>275015307</v>
      </c>
      <c r="G953" s="265">
        <f>+SUM(F948:F953)</f>
        <v>15604317082</v>
      </c>
      <c r="H953" s="264">
        <f>I519</f>
        <v>0</v>
      </c>
      <c r="I953" s="265">
        <f>+SUM(H948:H953)</f>
        <v>68273141</v>
      </c>
      <c r="J953" s="264">
        <f>K519</f>
        <v>0</v>
      </c>
      <c r="K953" s="265">
        <f>+SUM(J948:J953)</f>
        <v>2939876270</v>
      </c>
      <c r="L953" s="264">
        <f>M519</f>
        <v>179829</v>
      </c>
      <c r="M953" s="265">
        <f>+SUM(L948:L953)</f>
        <v>7937305456</v>
      </c>
      <c r="N953" s="264">
        <f>O519</f>
        <v>0</v>
      </c>
      <c r="O953" s="265">
        <f>+SUM(N948:N953)</f>
        <v>69078461</v>
      </c>
      <c r="P953" s="264">
        <f>Q519</f>
        <v>41775078</v>
      </c>
      <c r="Q953" s="265">
        <f>+SUM(P948:P953)</f>
        <v>5567585428</v>
      </c>
      <c r="R953" s="264">
        <f>S519</f>
        <v>97150902</v>
      </c>
      <c r="S953" s="265">
        <f>+SUM(R948:R953)</f>
        <v>148065420</v>
      </c>
      <c r="T953" s="264">
        <f>U519</f>
        <v>24577999</v>
      </c>
      <c r="U953" s="265">
        <f>+SUM(T948:T953)</f>
        <v>12979822239</v>
      </c>
      <c r="V953" s="264">
        <f>W519</f>
        <v>187082930</v>
      </c>
      <c r="W953" s="265">
        <f>+SUM(V948:V953)</f>
        <v>3161627526</v>
      </c>
      <c r="X953" s="264">
        <f>Y519</f>
        <v>73735276</v>
      </c>
      <c r="Y953" s="265">
        <f>+SUM(X948:X953)</f>
        <v>158100008</v>
      </c>
      <c r="Z953" s="264">
        <f>AA519</f>
        <v>167221202</v>
      </c>
      <c r="AA953" s="265">
        <f>+SUM(Z948:Z953)</f>
        <v>4199498111</v>
      </c>
      <c r="AB953" s="264">
        <f>AC519</f>
        <v>0</v>
      </c>
      <c r="AC953" s="265">
        <f>+SUM(AB948:AB953)</f>
        <v>68883966</v>
      </c>
      <c r="AD953" s="264">
        <f>AE519</f>
        <v>869106223</v>
      </c>
      <c r="AE953" s="265">
        <f>+SUM(AD948:AD953)</f>
        <v>2717569700</v>
      </c>
      <c r="AF953" s="264">
        <f>AG519</f>
        <v>3469541</v>
      </c>
      <c r="AG953" s="265">
        <f>+SUM(AF948:AF953)</f>
        <v>3136670759</v>
      </c>
      <c r="AH953" s="264">
        <f>AI519</f>
        <v>0</v>
      </c>
      <c r="AI953" s="265">
        <f>+SUM(AH948:AH953)</f>
        <v>3889440</v>
      </c>
    </row>
    <row r="954" spans="1:35" ht="12" thickBot="1">
      <c r="B954" s="262"/>
      <c r="C954" s="471"/>
      <c r="D954" s="269"/>
      <c r="E954" s="263"/>
      <c r="F954" s="269"/>
      <c r="G954" s="263"/>
      <c r="H954" s="269"/>
      <c r="I954" s="263"/>
      <c r="J954" s="269"/>
      <c r="K954" s="263"/>
      <c r="L954" s="269"/>
      <c r="M954" s="263"/>
      <c r="N954" s="269"/>
      <c r="O954" s="263"/>
      <c r="P954" s="269"/>
      <c r="Q954" s="263"/>
      <c r="R954" s="269"/>
      <c r="S954" s="263"/>
      <c r="T954" s="269"/>
      <c r="U954" s="263"/>
      <c r="V954" s="269"/>
      <c r="W954" s="263"/>
      <c r="X954" s="269"/>
      <c r="Y954" s="263"/>
      <c r="Z954" s="269"/>
      <c r="AA954" s="263"/>
      <c r="AB954" s="269"/>
      <c r="AC954" s="263"/>
      <c r="AD954" s="269"/>
      <c r="AE954" s="263"/>
      <c r="AF954" s="269"/>
      <c r="AG954" s="263"/>
      <c r="AH954" s="269"/>
      <c r="AI954" s="263"/>
    </row>
    <row r="955" spans="1:35" ht="12.75" customHeight="1" thickBot="1">
      <c r="B955" s="473" t="s">
        <v>684</v>
      </c>
      <c r="C955" s="460"/>
      <c r="D955" s="270"/>
      <c r="E955" s="271">
        <f>+SUM(E936:E954)</f>
        <v>66980723581</v>
      </c>
      <c r="F955" s="270"/>
      <c r="G955" s="271">
        <f>+SUM(G936:G954)</f>
        <v>22165010953</v>
      </c>
      <c r="H955" s="270"/>
      <c r="I955" s="271">
        <f>+SUM(I936:I954)</f>
        <v>548133179</v>
      </c>
      <c r="J955" s="270"/>
      <c r="K955" s="271">
        <f>+SUM(K936:K954)</f>
        <v>2956925119</v>
      </c>
      <c r="L955" s="270"/>
      <c r="M955" s="271">
        <f>+SUM(M936:M954)</f>
        <v>7949413237</v>
      </c>
      <c r="N955" s="270"/>
      <c r="O955" s="271">
        <f>+SUM(O936:O954)</f>
        <v>94235637</v>
      </c>
      <c r="P955" s="270"/>
      <c r="Q955" s="271">
        <f>+SUM(Q936:Q954)</f>
        <v>6164022444</v>
      </c>
      <c r="R955" s="270"/>
      <c r="S955" s="271">
        <f>+SUM(S936:S954)</f>
        <v>194287018</v>
      </c>
      <c r="T955" s="270"/>
      <c r="U955" s="271">
        <f>+SUM(U936:U954)</f>
        <v>13088071938</v>
      </c>
      <c r="V955" s="270"/>
      <c r="W955" s="271">
        <f>+SUM(W936:W954)</f>
        <v>3222158772</v>
      </c>
      <c r="X955" s="270"/>
      <c r="Y955" s="271">
        <f>+SUM(Y936:Y954)</f>
        <v>169253254</v>
      </c>
      <c r="Z955" s="270"/>
      <c r="AA955" s="271">
        <f>+SUM(AA936:AA954)</f>
        <v>4287035787</v>
      </c>
      <c r="AB955" s="270"/>
      <c r="AC955" s="271">
        <f>+SUM(AC936:AC954)</f>
        <v>78072052</v>
      </c>
      <c r="AD955" s="270"/>
      <c r="AE955" s="271">
        <f>+SUM(AE936:AE954)</f>
        <v>2758296027</v>
      </c>
      <c r="AF955" s="270"/>
      <c r="AG955" s="271">
        <f>+SUM(AG936:AG954)</f>
        <v>3289721440</v>
      </c>
      <c r="AH955" s="270"/>
      <c r="AI955" s="271">
        <f>+SUM(AI936:AI954)</f>
        <v>16086724</v>
      </c>
    </row>
    <row r="956" spans="1:35" ht="12" customHeight="1" thickBot="1">
      <c r="B956" s="560"/>
      <c r="C956" s="561"/>
      <c r="D956" s="561"/>
      <c r="E956" s="779">
        <f>E934-E955</f>
        <v>0</v>
      </c>
      <c r="F956" s="561"/>
      <c r="G956" s="534">
        <f>G934-G955</f>
        <v>0</v>
      </c>
      <c r="H956" s="535"/>
      <c r="I956" s="534">
        <f>I934-I955</f>
        <v>0</v>
      </c>
      <c r="J956" s="535"/>
      <c r="K956" s="752">
        <f>K934-K955</f>
        <v>0</v>
      </c>
      <c r="L956" s="535"/>
      <c r="M956" s="534">
        <f>M934-M955</f>
        <v>0</v>
      </c>
      <c r="N956" s="535"/>
      <c r="O956" s="534">
        <f>O934-O955</f>
        <v>0</v>
      </c>
      <c r="P956" s="535"/>
      <c r="Q956" s="534">
        <f>Q934-Q955</f>
        <v>0</v>
      </c>
      <c r="R956" s="535"/>
      <c r="S956" s="534">
        <f>S934-S955</f>
        <v>0</v>
      </c>
      <c r="T956" s="535"/>
      <c r="U956" s="534">
        <f>U934-U955</f>
        <v>0</v>
      </c>
      <c r="V956" s="535"/>
      <c r="W956" s="534">
        <f>W934-W955</f>
        <v>0</v>
      </c>
      <c r="X956" s="535"/>
      <c r="Y956" s="534">
        <f>Y934-Y955</f>
        <v>0</v>
      </c>
      <c r="Z956" s="535"/>
      <c r="AA956" s="534">
        <f>AA934-AA955</f>
        <v>0</v>
      </c>
      <c r="AB956" s="535"/>
      <c r="AC956" s="534">
        <f>AC934-AC955</f>
        <v>0</v>
      </c>
      <c r="AD956" s="535"/>
      <c r="AE956" s="534">
        <f>AE934-AE955</f>
        <v>0</v>
      </c>
      <c r="AF956" s="535"/>
      <c r="AG956" s="651">
        <f>AG934-AG955</f>
        <v>0</v>
      </c>
      <c r="AH956" s="535"/>
      <c r="AI956" s="534">
        <f>AI934-AI955</f>
        <v>0</v>
      </c>
    </row>
    <row r="957" spans="1:35" ht="12" thickBot="1">
      <c r="B957" s="305"/>
      <c r="C957" s="478"/>
      <c r="D957" s="478"/>
      <c r="E957" s="478"/>
      <c r="F957" s="478"/>
      <c r="G957" s="479"/>
    </row>
    <row r="958" spans="1:35" ht="12" thickBot="1">
      <c r="B958" s="1465" t="s">
        <v>685</v>
      </c>
      <c r="C958" s="1466"/>
      <c r="D958" s="1466"/>
      <c r="E958" s="1466"/>
      <c r="F958" s="1466"/>
      <c r="G958" s="1467"/>
    </row>
    <row r="959" spans="1:35" ht="12" thickBot="1">
      <c r="B959" s="480"/>
      <c r="C959" s="481"/>
      <c r="D959" s="481"/>
      <c r="E959" s="481"/>
      <c r="F959" s="481"/>
      <c r="G959" s="482"/>
    </row>
    <row r="960" spans="1:35" ht="12" thickBot="1">
      <c r="B960" s="480"/>
      <c r="C960" s="481"/>
      <c r="D960" s="1463" t="s">
        <v>860</v>
      </c>
      <c r="E960" s="1464"/>
      <c r="F960" s="1463" t="s">
        <v>17</v>
      </c>
      <c r="G960" s="1464"/>
      <c r="H960" s="1463" t="s">
        <v>18</v>
      </c>
      <c r="I960" s="1464"/>
      <c r="J960" s="1463" t="s">
        <v>19</v>
      </c>
      <c r="K960" s="1464"/>
      <c r="L960" s="1463" t="s">
        <v>20</v>
      </c>
      <c r="M960" s="1464"/>
      <c r="N960" s="1463" t="s">
        <v>21</v>
      </c>
      <c r="O960" s="1464"/>
      <c r="P960" s="1463" t="s">
        <v>22</v>
      </c>
      <c r="Q960" s="1464"/>
      <c r="R960" s="1463" t="s">
        <v>23</v>
      </c>
      <c r="S960" s="1464"/>
      <c r="T960" s="1463" t="s">
        <v>24</v>
      </c>
      <c r="U960" s="1464"/>
      <c r="V960" s="1463" t="s">
        <v>25</v>
      </c>
      <c r="W960" s="1464"/>
      <c r="X960" s="1463" t="s">
        <v>26</v>
      </c>
      <c r="Y960" s="1464"/>
      <c r="Z960" s="1463" t="s">
        <v>27</v>
      </c>
      <c r="AA960" s="1464"/>
      <c r="AB960" s="1463" t="s">
        <v>28</v>
      </c>
      <c r="AC960" s="1464"/>
      <c r="AD960" s="1463" t="s">
        <v>29</v>
      </c>
      <c r="AE960" s="1464"/>
      <c r="AF960" s="1463" t="s">
        <v>30</v>
      </c>
      <c r="AG960" s="1464"/>
      <c r="AH960" s="1463" t="s">
        <v>31</v>
      </c>
      <c r="AI960" s="1464"/>
    </row>
    <row r="961" spans="2:35" ht="12" thickBot="1">
      <c r="B961" s="467"/>
      <c r="C961" s="265"/>
      <c r="D961" s="786"/>
      <c r="E961" s="483"/>
      <c r="F961" s="786"/>
      <c r="G961" s="304"/>
    </row>
    <row r="962" spans="2:35">
      <c r="B962" s="465" t="s">
        <v>686</v>
      </c>
      <c r="C962" s="482"/>
      <c r="D962" s="260"/>
      <c r="E962" s="261"/>
      <c r="F962" s="260"/>
      <c r="G962" s="261"/>
      <c r="H962" s="260"/>
      <c r="I962" s="261"/>
      <c r="J962" s="260"/>
      <c r="K962" s="261"/>
      <c r="L962" s="260"/>
      <c r="M962" s="261"/>
      <c r="N962" s="260"/>
      <c r="O962" s="261"/>
      <c r="P962" s="260"/>
      <c r="Q962" s="261"/>
      <c r="R962" s="260"/>
      <c r="S962" s="261"/>
      <c r="T962" s="260"/>
      <c r="U962" s="261"/>
      <c r="V962" s="260"/>
      <c r="W962" s="261"/>
      <c r="X962" s="260"/>
      <c r="Y962" s="261"/>
      <c r="Z962" s="260"/>
      <c r="AA962" s="261"/>
      <c r="AB962" s="260"/>
      <c r="AC962" s="261"/>
      <c r="AD962" s="260"/>
      <c r="AE962" s="261"/>
      <c r="AF962" s="260"/>
      <c r="AG962" s="261"/>
      <c r="AH962" s="260"/>
      <c r="AI962" s="261"/>
    </row>
    <row r="963" spans="2:35">
      <c r="B963" s="476" t="s">
        <v>687</v>
      </c>
      <c r="C963" s="470">
        <v>9</v>
      </c>
      <c r="D963" s="262">
        <f>F963+H963+J963+L963+N963+P963+R963+T963+V963+X963+Z963+AB963+AD963+AF963+AH963</f>
        <v>285983587972.46997</v>
      </c>
      <c r="E963" s="263"/>
      <c r="F963" s="262">
        <f>G567</f>
        <v>11235918279</v>
      </c>
      <c r="G963" s="263"/>
      <c r="H963" s="262">
        <f>I567</f>
        <v>8102106466</v>
      </c>
      <c r="I963" s="263"/>
      <c r="J963" s="262">
        <f>K567</f>
        <v>16753903080</v>
      </c>
      <c r="K963" s="263"/>
      <c r="L963" s="262">
        <f>M567</f>
        <v>29142830728</v>
      </c>
      <c r="M963" s="263"/>
      <c r="N963" s="262">
        <f>O567</f>
        <v>53228700</v>
      </c>
      <c r="O963" s="263"/>
      <c r="P963" s="262">
        <f>Q567</f>
        <v>20189057790</v>
      </c>
      <c r="Q963" s="263"/>
      <c r="R963" s="262">
        <f>S567</f>
        <v>1420490882</v>
      </c>
      <c r="S963" s="263"/>
      <c r="T963" s="262">
        <f>U567</f>
        <v>40292773772</v>
      </c>
      <c r="U963" s="263"/>
      <c r="V963" s="262">
        <f>W567</f>
        <v>27347233849</v>
      </c>
      <c r="W963" s="263"/>
      <c r="X963" s="262">
        <f>Y567</f>
        <v>1447081777</v>
      </c>
      <c r="Y963" s="263"/>
      <c r="Z963" s="262">
        <f>AA567</f>
        <v>56252007909</v>
      </c>
      <c r="AA963" s="263"/>
      <c r="AB963" s="262">
        <f>AC567</f>
        <v>10063816439.029999</v>
      </c>
      <c r="AC963" s="263"/>
      <c r="AD963" s="262">
        <f>AE567</f>
        <v>27900594053</v>
      </c>
      <c r="AE963" s="263"/>
      <c r="AF963" s="262">
        <f>AG567</f>
        <v>35782544248.440002</v>
      </c>
      <c r="AG963" s="263"/>
      <c r="AH963" s="262">
        <f>AI567</f>
        <v>0</v>
      </c>
      <c r="AI963" s="263"/>
    </row>
    <row r="964" spans="2:35" ht="12" thickBot="1">
      <c r="B964" s="476" t="s">
        <v>688</v>
      </c>
      <c r="C964" s="470" t="s">
        <v>689</v>
      </c>
      <c r="D964" s="264">
        <f>F964+H964+J964+L964+N964+P964+R964+T964+V964+X964+Z964+AB964+AD964+AF964+AH964</f>
        <v>3179051649</v>
      </c>
      <c r="E964" s="265">
        <f>+SUM(D963:D964)</f>
        <v>289162639621.46997</v>
      </c>
      <c r="F964" s="264">
        <f>G592</f>
        <v>2014262215</v>
      </c>
      <c r="G964" s="265">
        <f>SUM(F963:F964)</f>
        <v>13250180494</v>
      </c>
      <c r="H964" s="264">
        <f>I592</f>
        <v>79733299</v>
      </c>
      <c r="I964" s="265">
        <f>SUM(H963:H964)</f>
        <v>8181839765</v>
      </c>
      <c r="J964" s="264">
        <f>K592</f>
        <v>22134758</v>
      </c>
      <c r="K964" s="265">
        <f>SUM(J963:J964)</f>
        <v>16776037838</v>
      </c>
      <c r="L964" s="264">
        <f>M592</f>
        <v>89373797</v>
      </c>
      <c r="M964" s="265">
        <f>SUM(L963:L964)</f>
        <v>29232204525</v>
      </c>
      <c r="N964" s="264">
        <f>O592</f>
        <v>5975849</v>
      </c>
      <c r="O964" s="265">
        <f>SUM(N963:N964)</f>
        <v>59204549</v>
      </c>
      <c r="P964" s="264">
        <f>Q592</f>
        <v>157389564</v>
      </c>
      <c r="Q964" s="265">
        <f>SUM(P963:P964)</f>
        <v>20346447354</v>
      </c>
      <c r="R964" s="264">
        <f>S592</f>
        <v>8819660</v>
      </c>
      <c r="S964" s="265">
        <f>SUM(R963:R964)</f>
        <v>1429310542</v>
      </c>
      <c r="T964" s="264">
        <f>U592</f>
        <v>175893550</v>
      </c>
      <c r="U964" s="265">
        <f>SUM(T963:T964)</f>
        <v>40468667322</v>
      </c>
      <c r="V964" s="264">
        <f>W592</f>
        <v>98373932</v>
      </c>
      <c r="W964" s="265">
        <f>SUM(V963:V964)</f>
        <v>27445607781</v>
      </c>
      <c r="X964" s="264">
        <f>Y592</f>
        <v>9054253</v>
      </c>
      <c r="Y964" s="265">
        <f>SUM(X963:X964)</f>
        <v>1456136030</v>
      </c>
      <c r="Z964" s="264">
        <f>AA592</f>
        <v>25838175</v>
      </c>
      <c r="AA964" s="265">
        <f>SUM(Z963:Z964)</f>
        <v>56277846084</v>
      </c>
      <c r="AB964" s="264">
        <f>AC592</f>
        <v>35365164</v>
      </c>
      <c r="AC964" s="265">
        <f>SUM(AB963:AB964)</f>
        <v>10099181603.029999</v>
      </c>
      <c r="AD964" s="264">
        <f>AE592</f>
        <v>65388259</v>
      </c>
      <c r="AE964" s="265">
        <f>SUM(AD963:AD964)</f>
        <v>27965982312</v>
      </c>
      <c r="AF964" s="264">
        <f>AG592</f>
        <v>391050331</v>
      </c>
      <c r="AG964" s="265">
        <f>SUM(AF963:AF964)</f>
        <v>36173594579.440002</v>
      </c>
      <c r="AH964" s="264">
        <f>AI592</f>
        <v>398843</v>
      </c>
      <c r="AI964" s="265">
        <f>SUM(AH963:AH964)</f>
        <v>398843</v>
      </c>
    </row>
    <row r="965" spans="2:35">
      <c r="B965" s="476" t="s">
        <v>690</v>
      </c>
      <c r="C965" s="470"/>
      <c r="D965" s="262"/>
      <c r="E965" s="263">
        <f>+E964</f>
        <v>289162639621.46997</v>
      </c>
      <c r="F965" s="262"/>
      <c r="G965" s="263">
        <f>G963+G964</f>
        <v>13250180494</v>
      </c>
      <c r="H965" s="262"/>
      <c r="I965" s="263">
        <f>I963+I964</f>
        <v>8181839765</v>
      </c>
      <c r="J965" s="262"/>
      <c r="K965" s="263">
        <f>K963+K964</f>
        <v>16776037838</v>
      </c>
      <c r="L965" s="262"/>
      <c r="M965" s="263">
        <f>M963+M964</f>
        <v>29232204525</v>
      </c>
      <c r="N965" s="262"/>
      <c r="O965" s="263">
        <f>O963+O964</f>
        <v>59204549</v>
      </c>
      <c r="P965" s="262"/>
      <c r="Q965" s="263">
        <f>Q963+Q964</f>
        <v>20346447354</v>
      </c>
      <c r="R965" s="262"/>
      <c r="S965" s="263">
        <f>S963+S964</f>
        <v>1429310542</v>
      </c>
      <c r="T965" s="262"/>
      <c r="U965" s="263">
        <f>U963+U964</f>
        <v>40468667322</v>
      </c>
      <c r="V965" s="262"/>
      <c r="W965" s="263">
        <f>W963+W964</f>
        <v>27445607781</v>
      </c>
      <c r="X965" s="262"/>
      <c r="Y965" s="263">
        <f>Y963+Y964</f>
        <v>1456136030</v>
      </c>
      <c r="Z965" s="262"/>
      <c r="AA965" s="263">
        <f>AA963+AA964</f>
        <v>56277846084</v>
      </c>
      <c r="AB965" s="262"/>
      <c r="AC965" s="263">
        <f>AC963+AC964</f>
        <v>10099181603.029999</v>
      </c>
      <c r="AD965" s="262"/>
      <c r="AE965" s="263">
        <f>AE963+AE964</f>
        <v>27965982312</v>
      </c>
      <c r="AF965" s="262"/>
      <c r="AG965" s="263">
        <f>AG963+AG964</f>
        <v>36173594579.440002</v>
      </c>
      <c r="AH965" s="262"/>
      <c r="AI965" s="263">
        <f>AI963+AI964</f>
        <v>398843</v>
      </c>
    </row>
    <row r="966" spans="2:35">
      <c r="B966" s="476"/>
      <c r="C966" s="470"/>
      <c r="D966" s="262"/>
      <c r="E966" s="263"/>
      <c r="F966" s="262"/>
      <c r="G966" s="263"/>
      <c r="H966" s="262"/>
      <c r="I966" s="263"/>
      <c r="J966" s="262"/>
      <c r="K966" s="263"/>
      <c r="L966" s="262"/>
      <c r="M966" s="263"/>
      <c r="N966" s="262"/>
      <c r="O966" s="263"/>
      <c r="P966" s="262"/>
      <c r="Q966" s="263"/>
      <c r="R966" s="262"/>
      <c r="S966" s="263"/>
      <c r="T966" s="262"/>
      <c r="U966" s="263"/>
      <c r="V966" s="262"/>
      <c r="W966" s="263"/>
      <c r="X966" s="262"/>
      <c r="Y966" s="263"/>
      <c r="Z966" s="262"/>
      <c r="AA966" s="263"/>
      <c r="AB966" s="262"/>
      <c r="AC966" s="263"/>
      <c r="AD966" s="262"/>
      <c r="AE966" s="263"/>
      <c r="AF966" s="262"/>
      <c r="AG966" s="263"/>
      <c r="AH966" s="262"/>
      <c r="AI966" s="263"/>
    </row>
    <row r="967" spans="2:35">
      <c r="B967" s="476" t="s">
        <v>691</v>
      </c>
      <c r="C967" s="470"/>
      <c r="D967" s="262"/>
      <c r="E967" s="263"/>
      <c r="F967" s="262"/>
      <c r="G967" s="263"/>
      <c r="H967" s="262"/>
      <c r="I967" s="263"/>
      <c r="J967" s="262"/>
      <c r="K967" s="263"/>
      <c r="L967" s="262"/>
      <c r="M967" s="263"/>
      <c r="N967" s="262"/>
      <c r="O967" s="263"/>
      <c r="P967" s="262"/>
      <c r="Q967" s="263"/>
      <c r="R967" s="262"/>
      <c r="S967" s="263"/>
      <c r="T967" s="262"/>
      <c r="U967" s="263"/>
      <c r="V967" s="262"/>
      <c r="W967" s="263"/>
      <c r="X967" s="262"/>
      <c r="Y967" s="263"/>
      <c r="Z967" s="262"/>
      <c r="AA967" s="263"/>
      <c r="AB967" s="262"/>
      <c r="AC967" s="263"/>
      <c r="AD967" s="262"/>
      <c r="AE967" s="263"/>
      <c r="AF967" s="262"/>
      <c r="AG967" s="263"/>
      <c r="AH967" s="262"/>
      <c r="AI967" s="263"/>
    </row>
    <row r="968" spans="2:35">
      <c r="B968" s="476" t="s">
        <v>692</v>
      </c>
      <c r="C968" s="470" t="s">
        <v>693</v>
      </c>
      <c r="D968" s="262">
        <f t="shared" ref="D968:D974" si="66">F968+H968+J968+L968+N968+P968+R968+T968+V968+X968+Z968+AB968+AD968+AF968+AH968</f>
        <v>2677606258</v>
      </c>
      <c r="E968" s="263"/>
      <c r="F968" s="262">
        <f>G605</f>
        <v>0</v>
      </c>
      <c r="G968" s="263"/>
      <c r="H968" s="262">
        <f>I605</f>
        <v>0</v>
      </c>
      <c r="I968" s="263"/>
      <c r="J968" s="262">
        <f>K605</f>
        <v>0</v>
      </c>
      <c r="K968" s="263"/>
      <c r="L968" s="262">
        <f>M605</f>
        <v>0</v>
      </c>
      <c r="M968" s="263"/>
      <c r="N968" s="262">
        <f>O605</f>
        <v>0</v>
      </c>
      <c r="O968" s="263"/>
      <c r="P968" s="262">
        <f>Q605</f>
        <v>0</v>
      </c>
      <c r="Q968" s="263"/>
      <c r="R968" s="262">
        <f>S605</f>
        <v>0</v>
      </c>
      <c r="S968" s="263"/>
      <c r="T968" s="262">
        <f>U605</f>
        <v>0</v>
      </c>
      <c r="U968" s="263"/>
      <c r="V968" s="262">
        <f>W605</f>
        <v>0</v>
      </c>
      <c r="W968" s="263"/>
      <c r="X968" s="262">
        <f>Y605</f>
        <v>0</v>
      </c>
      <c r="Y968" s="263"/>
      <c r="Z968" s="262">
        <f>AA605</f>
        <v>0</v>
      </c>
      <c r="AA968" s="263"/>
      <c r="AB968" s="262">
        <f>AC605</f>
        <v>0</v>
      </c>
      <c r="AC968" s="263"/>
      <c r="AD968" s="262">
        <f>AE605</f>
        <v>2677606258</v>
      </c>
      <c r="AE968" s="263"/>
      <c r="AF968" s="262">
        <f>AG605</f>
        <v>0</v>
      </c>
      <c r="AG968" s="263"/>
      <c r="AH968" s="262">
        <f>AI605</f>
        <v>0</v>
      </c>
      <c r="AI968" s="263"/>
    </row>
    <row r="969" spans="2:35">
      <c r="B969" s="476" t="s">
        <v>694</v>
      </c>
      <c r="C969" s="470" t="s">
        <v>695</v>
      </c>
      <c r="D969" s="262">
        <f t="shared" si="66"/>
        <v>265089341594</v>
      </c>
      <c r="E969" s="263"/>
      <c r="F969" s="262">
        <f>G637</f>
        <v>11426611676</v>
      </c>
      <c r="G969" s="263"/>
      <c r="H969" s="262">
        <f>I637</f>
        <v>7520972626</v>
      </c>
      <c r="I969" s="263"/>
      <c r="J969" s="262">
        <f>K637</f>
        <v>12938740809</v>
      </c>
      <c r="K969" s="263"/>
      <c r="L969" s="262">
        <f>M637</f>
        <v>28541034594</v>
      </c>
      <c r="M969" s="263"/>
      <c r="N969" s="262">
        <f>O637</f>
        <v>27391057</v>
      </c>
      <c r="O969" s="263"/>
      <c r="P969" s="262">
        <f>Q637</f>
        <v>16018134670</v>
      </c>
      <c r="Q969" s="263"/>
      <c r="R969" s="262">
        <f>S637</f>
        <v>1329962794</v>
      </c>
      <c r="S969" s="263"/>
      <c r="T969" s="262">
        <f>U637</f>
        <v>38522262285</v>
      </c>
      <c r="U969" s="263"/>
      <c r="V969" s="262">
        <f>W637</f>
        <v>26761800329</v>
      </c>
      <c r="W969" s="263"/>
      <c r="X969" s="262">
        <f>Y637</f>
        <v>1409801536</v>
      </c>
      <c r="Y969" s="263"/>
      <c r="Z969" s="262">
        <f>AA637</f>
        <v>54233379568</v>
      </c>
      <c r="AA969" s="263"/>
      <c r="AB969" s="262">
        <f>AC637</f>
        <v>8116136097</v>
      </c>
      <c r="AC969" s="263"/>
      <c r="AD969" s="262">
        <f>AE637</f>
        <v>23200677887</v>
      </c>
      <c r="AE969" s="263"/>
      <c r="AF969" s="262">
        <f>AG637</f>
        <v>35042435666</v>
      </c>
      <c r="AG969" s="263"/>
      <c r="AH969" s="262">
        <f>AI637</f>
        <v>0</v>
      </c>
      <c r="AI969" s="263"/>
    </row>
    <row r="970" spans="2:35" ht="21.75">
      <c r="B970" s="484" t="s">
        <v>696</v>
      </c>
      <c r="C970" s="471">
        <v>13</v>
      </c>
      <c r="D970" s="262">
        <f t="shared" si="66"/>
        <v>87762823</v>
      </c>
      <c r="E970" s="267"/>
      <c r="F970" s="266">
        <f>G657</f>
        <v>-806678</v>
      </c>
      <c r="G970" s="267"/>
      <c r="H970" s="266">
        <f>I657</f>
        <v>134817644</v>
      </c>
      <c r="I970" s="267"/>
      <c r="J970" s="266">
        <f>K657</f>
        <v>655692879</v>
      </c>
      <c r="K970" s="267"/>
      <c r="L970" s="266">
        <f>M657</f>
        <v>-1119971398</v>
      </c>
      <c r="M970" s="267"/>
      <c r="N970" s="266">
        <f>O657</f>
        <v>19145929</v>
      </c>
      <c r="O970" s="267"/>
      <c r="P970" s="266">
        <f>Q657</f>
        <v>2410357694</v>
      </c>
      <c r="Q970" s="267"/>
      <c r="R970" s="266">
        <f>S657</f>
        <v>29085809</v>
      </c>
      <c r="S970" s="267"/>
      <c r="T970" s="266">
        <f>U657</f>
        <v>-3438243611</v>
      </c>
      <c r="U970" s="267"/>
      <c r="V970" s="266">
        <f>W657</f>
        <v>-838679031</v>
      </c>
      <c r="W970" s="267"/>
      <c r="X970" s="266">
        <f>Y657</f>
        <v>9399768</v>
      </c>
      <c r="Y970" s="267"/>
      <c r="Z970" s="266">
        <f>AA657</f>
        <v>5353320</v>
      </c>
      <c r="AA970" s="267"/>
      <c r="AB970" s="266">
        <f>AC657</f>
        <v>1756640918</v>
      </c>
      <c r="AC970" s="267"/>
      <c r="AD970" s="266">
        <f>AE657</f>
        <v>716286633</v>
      </c>
      <c r="AE970" s="267"/>
      <c r="AF970" s="266">
        <f>AG657</f>
        <v>-251317053</v>
      </c>
      <c r="AG970" s="267"/>
      <c r="AH970" s="266">
        <f>AI657</f>
        <v>0</v>
      </c>
      <c r="AI970" s="267"/>
    </row>
    <row r="971" spans="2:35">
      <c r="B971" s="476" t="s">
        <v>702</v>
      </c>
      <c r="C971" s="470">
        <v>14</v>
      </c>
      <c r="D971" s="262">
        <f t="shared" si="66"/>
        <v>2029207221</v>
      </c>
      <c r="E971" s="263"/>
      <c r="F971" s="262">
        <f>G683</f>
        <v>700584595</v>
      </c>
      <c r="G971" s="263"/>
      <c r="H971" s="262">
        <f>I683</f>
        <v>47557914</v>
      </c>
      <c r="I971" s="263"/>
      <c r="J971" s="262">
        <f>K683</f>
        <v>34606465</v>
      </c>
      <c r="K971" s="263"/>
      <c r="L971" s="262">
        <f>M683</f>
        <v>40982639</v>
      </c>
      <c r="M971" s="263"/>
      <c r="N971" s="262">
        <f>O683</f>
        <v>90013636</v>
      </c>
      <c r="O971" s="263"/>
      <c r="P971" s="262">
        <f>Q683</f>
        <v>169480251</v>
      </c>
      <c r="Q971" s="263"/>
      <c r="R971" s="262">
        <f>S683</f>
        <v>49632068</v>
      </c>
      <c r="S971" s="263"/>
      <c r="T971" s="262">
        <f>U683</f>
        <v>175948449</v>
      </c>
      <c r="U971" s="263"/>
      <c r="V971" s="262">
        <f>W683</f>
        <v>163350895</v>
      </c>
      <c r="W971" s="263"/>
      <c r="X971" s="262">
        <f>Y683</f>
        <v>26086648</v>
      </c>
      <c r="Y971" s="263"/>
      <c r="Z971" s="262">
        <f>AA683</f>
        <v>82962316</v>
      </c>
      <c r="AA971" s="263"/>
      <c r="AB971" s="262">
        <f>AC683</f>
        <v>60256686</v>
      </c>
      <c r="AC971" s="263"/>
      <c r="AD971" s="262">
        <f>AE683</f>
        <v>127450885</v>
      </c>
      <c r="AE971" s="263"/>
      <c r="AF971" s="262">
        <f>AG683</f>
        <v>193105257</v>
      </c>
      <c r="AG971" s="263"/>
      <c r="AH971" s="262">
        <f>AI683</f>
        <v>67188517</v>
      </c>
      <c r="AI971" s="263"/>
    </row>
    <row r="972" spans="2:35">
      <c r="B972" s="476" t="s">
        <v>703</v>
      </c>
      <c r="C972" s="470" t="s">
        <v>704</v>
      </c>
      <c r="D972" s="262">
        <f t="shared" si="66"/>
        <v>2194655945</v>
      </c>
      <c r="E972" s="263"/>
      <c r="F972" s="262">
        <f>G697</f>
        <v>1425462807</v>
      </c>
      <c r="G972" s="263"/>
      <c r="H972" s="262">
        <f>I697</f>
        <v>33567993</v>
      </c>
      <c r="I972" s="263"/>
      <c r="J972" s="262">
        <f>K697</f>
        <v>587276</v>
      </c>
      <c r="K972" s="263"/>
      <c r="L972" s="262">
        <f>M697</f>
        <v>68993547</v>
      </c>
      <c r="M972" s="263"/>
      <c r="N972" s="262">
        <f>O697</f>
        <v>25151</v>
      </c>
      <c r="O972" s="263"/>
      <c r="P972" s="262">
        <f>Q697</f>
        <v>81269457</v>
      </c>
      <c r="Q972" s="263"/>
      <c r="R972" s="262">
        <f>S697</f>
        <v>0</v>
      </c>
      <c r="S972" s="263"/>
      <c r="T972" s="262">
        <f>U697</f>
        <v>170057949</v>
      </c>
      <c r="U972" s="263"/>
      <c r="V972" s="262">
        <f>W697</f>
        <v>87252162</v>
      </c>
      <c r="W972" s="263"/>
      <c r="X972" s="262">
        <f>Y697</f>
        <v>41599</v>
      </c>
      <c r="Y972" s="263"/>
      <c r="Z972" s="262">
        <f>AA697</f>
        <v>718097</v>
      </c>
      <c r="AA972" s="263"/>
      <c r="AB972" s="262">
        <f>AC697</f>
        <v>24095118</v>
      </c>
      <c r="AC972" s="263"/>
      <c r="AD972" s="262">
        <f>AE697</f>
        <v>52391420</v>
      </c>
      <c r="AE972" s="263"/>
      <c r="AF972" s="262">
        <f>AG697</f>
        <v>250083365</v>
      </c>
      <c r="AG972" s="263"/>
      <c r="AH972" s="262">
        <f>AI697</f>
        <v>110004</v>
      </c>
      <c r="AI972" s="263"/>
    </row>
    <row r="973" spans="2:35">
      <c r="B973" s="476" t="s">
        <v>705</v>
      </c>
      <c r="C973" s="470"/>
      <c r="D973" s="262">
        <f t="shared" si="66"/>
        <v>119698468</v>
      </c>
      <c r="E973" s="263"/>
      <c r="F973" s="262">
        <v>8845960</v>
      </c>
      <c r="G973" s="263"/>
      <c r="H973" s="262">
        <v>36945578</v>
      </c>
      <c r="I973" s="263"/>
      <c r="J973" s="262">
        <v>931532</v>
      </c>
      <c r="K973" s="263"/>
      <c r="L973" s="262">
        <v>3555793</v>
      </c>
      <c r="M973" s="263"/>
      <c r="N973" s="262">
        <v>258197</v>
      </c>
      <c r="O973" s="263"/>
      <c r="P973" s="262">
        <v>2342474</v>
      </c>
      <c r="Q973" s="263"/>
      <c r="R973" s="262">
        <v>11700121</v>
      </c>
      <c r="S973" s="263"/>
      <c r="T973" s="262">
        <v>14452855</v>
      </c>
      <c r="U973" s="263"/>
      <c r="V973" s="262">
        <v>12309474</v>
      </c>
      <c r="W973" s="263"/>
      <c r="X973" s="262">
        <v>591023</v>
      </c>
      <c r="Y973" s="263"/>
      <c r="Z973" s="262">
        <v>1725092</v>
      </c>
      <c r="AA973" s="263"/>
      <c r="AB973" s="262">
        <v>277980</v>
      </c>
      <c r="AC973" s="263"/>
      <c r="AD973" s="262">
        <v>2068443</v>
      </c>
      <c r="AE973" s="263"/>
      <c r="AF973" s="262">
        <v>22642248</v>
      </c>
      <c r="AG973" s="263"/>
      <c r="AH973" s="262">
        <v>1051698</v>
      </c>
      <c r="AI973" s="263"/>
    </row>
    <row r="974" spans="2:35" ht="12" thickBot="1">
      <c r="B974" s="476" t="s">
        <v>706</v>
      </c>
      <c r="C974" s="470" t="s">
        <v>707</v>
      </c>
      <c r="D974" s="264">
        <f t="shared" si="66"/>
        <v>15671952414</v>
      </c>
      <c r="E974" s="265">
        <f>+SUM(D968:D974)</f>
        <v>287870224723</v>
      </c>
      <c r="F974" s="264">
        <f>G758</f>
        <v>180901316</v>
      </c>
      <c r="G974" s="265">
        <f>SUM(F968:F974)</f>
        <v>13741599676</v>
      </c>
      <c r="H974" s="264">
        <f>I758</f>
        <v>338087506</v>
      </c>
      <c r="I974" s="265">
        <f>SUM(H968:H974)</f>
        <v>8111949261</v>
      </c>
      <c r="J974" s="264">
        <f>K758</f>
        <v>3037008922</v>
      </c>
      <c r="K974" s="265">
        <f>SUM(J968:J974)</f>
        <v>16667567883</v>
      </c>
      <c r="L974" s="264">
        <f>M758</f>
        <v>1414938334</v>
      </c>
      <c r="M974" s="265">
        <f>SUM(L968:L974)</f>
        <v>28949533509</v>
      </c>
      <c r="N974" s="264">
        <f>O758</f>
        <v>5750058</v>
      </c>
      <c r="O974" s="265">
        <f>SUM(N968:N974)</f>
        <v>142584028</v>
      </c>
      <c r="P974" s="264">
        <f>Q758</f>
        <v>1666983449</v>
      </c>
      <c r="Q974" s="265">
        <f>SUM(P968:P974)</f>
        <v>20348567995</v>
      </c>
      <c r="R974" s="264">
        <f>S758</f>
        <v>67476778</v>
      </c>
      <c r="S974" s="265">
        <f>SUM(R968:R974)</f>
        <v>1487857570</v>
      </c>
      <c r="T974" s="264">
        <f>U758</f>
        <v>4288325001</v>
      </c>
      <c r="U974" s="265">
        <f>SUM(T968:T974)</f>
        <v>39732802928</v>
      </c>
      <c r="V974" s="264">
        <f>W758</f>
        <v>1301167921</v>
      </c>
      <c r="W974" s="265">
        <f>SUM(V968:V974)</f>
        <v>27487201750</v>
      </c>
      <c r="X974" s="264">
        <f>Y758</f>
        <v>8587705</v>
      </c>
      <c r="Y974" s="265">
        <f>SUM(X968:X974)</f>
        <v>1454508279</v>
      </c>
      <c r="Z974" s="264">
        <f>AA758</f>
        <v>1553733411</v>
      </c>
      <c r="AA974" s="265">
        <f>SUM(Z968:Z974)</f>
        <v>55877871804</v>
      </c>
      <c r="AB974" s="264">
        <f>AC758</f>
        <v>27746310</v>
      </c>
      <c r="AC974" s="265">
        <f>SUM(AB968:AB974)</f>
        <v>9985153109</v>
      </c>
      <c r="AD974" s="264">
        <f>AE758</f>
        <v>901267894</v>
      </c>
      <c r="AE974" s="265">
        <f>SUM(AD968:AD974)</f>
        <v>27677749420</v>
      </c>
      <c r="AF974" s="264">
        <f>AG758</f>
        <v>877525524</v>
      </c>
      <c r="AG974" s="265">
        <f>SUM(AF968:AF974)</f>
        <v>36134475007</v>
      </c>
      <c r="AH974" s="264">
        <f>AI758</f>
        <v>2452285</v>
      </c>
      <c r="AI974" s="265">
        <f>SUM(AH968:AH974)</f>
        <v>70802504</v>
      </c>
    </row>
    <row r="975" spans="2:35">
      <c r="B975" s="476" t="s">
        <v>708</v>
      </c>
      <c r="C975" s="470"/>
      <c r="D975" s="260"/>
      <c r="E975" s="261">
        <f>+E974</f>
        <v>287870224723</v>
      </c>
      <c r="F975" s="260"/>
      <c r="G975" s="261">
        <f>SUM(G968:G974)</f>
        <v>13741599676</v>
      </c>
      <c r="H975" s="260"/>
      <c r="I975" s="261">
        <f>SUM(I968:I974)</f>
        <v>8111949261</v>
      </c>
      <c r="J975" s="260"/>
      <c r="K975" s="261">
        <f>SUM(K968:K974)</f>
        <v>16667567883</v>
      </c>
      <c r="L975" s="260"/>
      <c r="M975" s="261">
        <f>SUM(M968:M974)</f>
        <v>28949533509</v>
      </c>
      <c r="N975" s="260"/>
      <c r="O975" s="261">
        <f>SUM(O968:O974)</f>
        <v>142584028</v>
      </c>
      <c r="P975" s="260"/>
      <c r="Q975" s="261">
        <f>SUM(Q968:Q974)</f>
        <v>20348567995</v>
      </c>
      <c r="R975" s="260"/>
      <c r="S975" s="261">
        <f>SUM(S968:S974)</f>
        <v>1487857570</v>
      </c>
      <c r="T975" s="260"/>
      <c r="U975" s="261">
        <f>SUM(U968:U974)</f>
        <v>39732802928</v>
      </c>
      <c r="V975" s="260"/>
      <c r="W975" s="261">
        <f>SUM(W968:W974)</f>
        <v>27487201750</v>
      </c>
      <c r="X975" s="260"/>
      <c r="Y975" s="261">
        <f>SUM(Y968:Y974)</f>
        <v>1454508279</v>
      </c>
      <c r="Z975" s="260"/>
      <c r="AA975" s="261">
        <f>SUM(AA968:AA974)</f>
        <v>55877871804</v>
      </c>
      <c r="AB975" s="260"/>
      <c r="AC975" s="261">
        <f>SUM(AC968:AC974)</f>
        <v>9985153109</v>
      </c>
      <c r="AD975" s="260"/>
      <c r="AE975" s="261">
        <f>SUM(AE968:AE974)</f>
        <v>27677749420</v>
      </c>
      <c r="AF975" s="260"/>
      <c r="AG975" s="261">
        <f>SUM(AG968:AG974)</f>
        <v>36134475007</v>
      </c>
      <c r="AH975" s="260"/>
      <c r="AI975" s="261">
        <f>SUM(AI968:AI974)</f>
        <v>70802504</v>
      </c>
    </row>
    <row r="976" spans="2:35" ht="12" thickBot="1">
      <c r="B976" s="476"/>
      <c r="C976" s="470"/>
      <c r="D976" s="262"/>
      <c r="E976" s="265"/>
      <c r="F976" s="262"/>
      <c r="G976" s="265"/>
      <c r="H976" s="262"/>
      <c r="I976" s="265"/>
      <c r="J976" s="262"/>
      <c r="K976" s="265"/>
      <c r="L976" s="262"/>
      <c r="M976" s="265"/>
      <c r="N976" s="262"/>
      <c r="O976" s="265"/>
      <c r="P976" s="262"/>
      <c r="Q976" s="265"/>
      <c r="R976" s="262"/>
      <c r="S976" s="265"/>
      <c r="T976" s="262"/>
      <c r="U976" s="265"/>
      <c r="V976" s="262"/>
      <c r="W976" s="265"/>
      <c r="X976" s="262"/>
      <c r="Y976" s="265"/>
      <c r="Z976" s="262"/>
      <c r="AA976" s="265"/>
      <c r="AB976" s="262"/>
      <c r="AC976" s="265"/>
      <c r="AD976" s="262"/>
      <c r="AE976" s="265"/>
      <c r="AF976" s="262"/>
      <c r="AG976" s="265"/>
      <c r="AH976" s="262"/>
      <c r="AI976" s="265"/>
    </row>
    <row r="977" spans="2:35" ht="21.75">
      <c r="B977" s="461" t="s">
        <v>709</v>
      </c>
      <c r="C977" s="470"/>
      <c r="D977" s="262"/>
      <c r="E977" s="261">
        <f>+E965-E975</f>
        <v>1292414898.4699707</v>
      </c>
      <c r="F977" s="262"/>
      <c r="G977" s="261">
        <f>+G965-G975</f>
        <v>-491419182</v>
      </c>
      <c r="H977" s="262"/>
      <c r="I977" s="261">
        <f>+I965-I975</f>
        <v>69890504</v>
      </c>
      <c r="J977" s="262"/>
      <c r="K977" s="261">
        <f>+K965-K975</f>
        <v>108469955</v>
      </c>
      <c r="L977" s="262"/>
      <c r="M977" s="261">
        <f>+M965-M975</f>
        <v>282671016</v>
      </c>
      <c r="N977" s="262"/>
      <c r="O977" s="261">
        <f>+O965-O975</f>
        <v>-83379479</v>
      </c>
      <c r="P977" s="262"/>
      <c r="Q977" s="261">
        <f>+Q965-Q975</f>
        <v>-2120641</v>
      </c>
      <c r="R977" s="262"/>
      <c r="S977" s="261">
        <f>+S965-S975</f>
        <v>-58547028</v>
      </c>
      <c r="T977" s="262"/>
      <c r="U977" s="261">
        <f>+U965-U975</f>
        <v>735864394</v>
      </c>
      <c r="V977" s="262"/>
      <c r="W977" s="261">
        <f>+W965-W975</f>
        <v>-41593969</v>
      </c>
      <c r="X977" s="262"/>
      <c r="Y977" s="261">
        <f>+Y965-Y975</f>
        <v>1627751</v>
      </c>
      <c r="Z977" s="262"/>
      <c r="AA977" s="261">
        <f>+AA965-AA975</f>
        <v>399974280</v>
      </c>
      <c r="AB977" s="262"/>
      <c r="AC977" s="261">
        <f>+AC965-AC975</f>
        <v>114028494.02999878</v>
      </c>
      <c r="AD977" s="262"/>
      <c r="AE977" s="261">
        <f>+AE965-AE975</f>
        <v>288232892</v>
      </c>
      <c r="AF977" s="262"/>
      <c r="AG977" s="261">
        <f>+AG965-AG975</f>
        <v>39119572.440002441</v>
      </c>
      <c r="AH977" s="262"/>
      <c r="AI977" s="261">
        <f>+AI965-AI975</f>
        <v>-70403661</v>
      </c>
    </row>
    <row r="978" spans="2:35" ht="12" thickBot="1">
      <c r="B978" s="476" t="s">
        <v>710</v>
      </c>
      <c r="C978" s="470"/>
      <c r="D978" s="262"/>
      <c r="E978" s="265">
        <f>G978+I978+K978+M978+O978+Q978+S978+U978+W978+Y978+AA978+AC978+AE978+AG978+AI978</f>
        <v>127146494</v>
      </c>
      <c r="F978" s="262"/>
      <c r="G978" s="265">
        <f>G829</f>
        <v>-2903498</v>
      </c>
      <c r="H978" s="262"/>
      <c r="I978" s="265">
        <f>I829</f>
        <v>67662</v>
      </c>
      <c r="J978" s="262"/>
      <c r="K978" s="265">
        <f>K829</f>
        <v>3026298</v>
      </c>
      <c r="L978" s="262"/>
      <c r="M978" s="265">
        <f>M829</f>
        <v>-8644</v>
      </c>
      <c r="N978" s="262"/>
      <c r="O978" s="265">
        <f>O829</f>
        <v>-2171444</v>
      </c>
      <c r="P978" s="262"/>
      <c r="Q978" s="265">
        <f>Q829</f>
        <v>-6311474</v>
      </c>
      <c r="R978" s="262"/>
      <c r="S978" s="265">
        <f>S829</f>
        <v>0</v>
      </c>
      <c r="T978" s="262"/>
      <c r="U978" s="265">
        <f>U829</f>
        <v>-15000</v>
      </c>
      <c r="V978" s="262"/>
      <c r="W978" s="265">
        <f>W829</f>
        <v>295774</v>
      </c>
      <c r="X978" s="262"/>
      <c r="Y978" s="265">
        <f>Y829</f>
        <v>-112516</v>
      </c>
      <c r="Z978" s="262"/>
      <c r="AA978" s="265">
        <f>AA829</f>
        <v>-13332</v>
      </c>
      <c r="AB978" s="262"/>
      <c r="AC978" s="265">
        <f>AC829</f>
        <v>137870172</v>
      </c>
      <c r="AD978" s="262"/>
      <c r="AE978" s="265">
        <f>AE829</f>
        <v>-1359451</v>
      </c>
      <c r="AF978" s="262"/>
      <c r="AG978" s="265">
        <f>AG829</f>
        <v>-1173209</v>
      </c>
      <c r="AH978" s="262"/>
      <c r="AI978" s="265">
        <f>AI829</f>
        <v>-44844</v>
      </c>
    </row>
    <row r="979" spans="2:35">
      <c r="B979" s="476" t="s">
        <v>723</v>
      </c>
      <c r="C979" s="470"/>
      <c r="D979" s="262"/>
      <c r="E979" s="263">
        <f>+E977-E978</f>
        <v>1165268404.4699707</v>
      </c>
      <c r="F979" s="262"/>
      <c r="G979" s="263">
        <f>+G977-G978</f>
        <v>-488515684</v>
      </c>
      <c r="H979" s="262"/>
      <c r="I979" s="263">
        <f>+I977-I978</f>
        <v>69822842</v>
      </c>
      <c r="J979" s="262"/>
      <c r="K979" s="263">
        <f>+K977-K978</f>
        <v>105443657</v>
      </c>
      <c r="L979" s="262"/>
      <c r="M979" s="263">
        <f>+M977-M978</f>
        <v>282679660</v>
      </c>
      <c r="N979" s="262"/>
      <c r="O979" s="263">
        <f>O977-O978</f>
        <v>-81208035</v>
      </c>
      <c r="P979" s="262"/>
      <c r="Q979" s="263">
        <f>+Q977-Q978</f>
        <v>4190833</v>
      </c>
      <c r="R979" s="262"/>
      <c r="S979" s="263">
        <f>+S977-S978</f>
        <v>-58547028</v>
      </c>
      <c r="T979" s="262"/>
      <c r="U979" s="263">
        <f>+U977-U978</f>
        <v>735879394</v>
      </c>
      <c r="V979" s="262"/>
      <c r="W979" s="263">
        <f>+W977-W978</f>
        <v>-41889743</v>
      </c>
      <c r="X979" s="262"/>
      <c r="Y979" s="263">
        <f>+Y977-Y978</f>
        <v>1740267</v>
      </c>
      <c r="Z979" s="262"/>
      <c r="AA979" s="263">
        <f>+AA977-AA978</f>
        <v>399987612</v>
      </c>
      <c r="AB979" s="262"/>
      <c r="AC979" s="263">
        <f>+AC977-AC978</f>
        <v>-23841677.970001221</v>
      </c>
      <c r="AD979" s="262"/>
      <c r="AE979" s="263">
        <f>+AE977-AE978</f>
        <v>289592343</v>
      </c>
      <c r="AF979" s="262"/>
      <c r="AG979" s="263">
        <f>+AG977-AG978</f>
        <v>40292781.440002441</v>
      </c>
      <c r="AH979" s="262"/>
      <c r="AI979" s="263">
        <f>+AI977-AI978</f>
        <v>-70358817</v>
      </c>
    </row>
    <row r="980" spans="2:35" ht="12" thickBot="1">
      <c r="B980" s="476" t="s">
        <v>724</v>
      </c>
      <c r="C980" s="470"/>
      <c r="D980" s="262"/>
      <c r="E980" s="265">
        <f>G980+I980+K980+M980+O980+Q980+S980+U980+W980+Y980+AA980+AC980+AE980+AG980+AI980</f>
        <v>2443637338</v>
      </c>
      <c r="F980" s="262"/>
      <c r="G980" s="265">
        <v>2900000</v>
      </c>
      <c r="H980" s="262"/>
      <c r="I980" s="265"/>
      <c r="J980" s="262"/>
      <c r="K980" s="265"/>
      <c r="L980" s="262"/>
      <c r="M980" s="265">
        <v>2285300000</v>
      </c>
      <c r="N980" s="262"/>
      <c r="O980" s="265"/>
      <c r="P980" s="262"/>
      <c r="Q980" s="265"/>
      <c r="R980" s="262"/>
      <c r="S980" s="265"/>
      <c r="T980" s="262"/>
      <c r="U980" s="265"/>
      <c r="V980" s="262"/>
      <c r="W980" s="265"/>
      <c r="X980" s="262"/>
      <c r="Y980" s="265"/>
      <c r="Z980" s="262"/>
      <c r="AA980" s="265"/>
      <c r="AB980" s="262"/>
      <c r="AC980" s="265"/>
      <c r="AD980" s="262"/>
      <c r="AE980" s="265"/>
      <c r="AF980" s="262"/>
      <c r="AG980" s="265">
        <f>228320670-57373515-15509817</f>
        <v>155437338</v>
      </c>
      <c r="AH980" s="262"/>
      <c r="AI980" s="265"/>
    </row>
    <row r="981" spans="2:35">
      <c r="B981" s="476"/>
      <c r="C981" s="470"/>
      <c r="D981" s="262"/>
      <c r="E981" s="263">
        <f>E979-E980</f>
        <v>-1278368933.5300293</v>
      </c>
      <c r="F981" s="262"/>
      <c r="G981" s="263">
        <f>G979-G980</f>
        <v>-491415684</v>
      </c>
      <c r="H981" s="262"/>
      <c r="I981" s="263">
        <f>I979-I980</f>
        <v>69822842</v>
      </c>
      <c r="J981" s="262"/>
      <c r="K981" s="263">
        <f>K979-K980</f>
        <v>105443657</v>
      </c>
      <c r="L981" s="262"/>
      <c r="M981" s="263">
        <f>M979-M980</f>
        <v>-2002620340</v>
      </c>
      <c r="N981" s="262"/>
      <c r="O981" s="263">
        <f>O979-O980</f>
        <v>-81208035</v>
      </c>
      <c r="P981" s="262"/>
      <c r="Q981" s="263">
        <f>Q979-Q980</f>
        <v>4190833</v>
      </c>
      <c r="R981" s="262"/>
      <c r="S981" s="263">
        <f>S979-S980</f>
        <v>-58547028</v>
      </c>
      <c r="T981" s="262"/>
      <c r="U981" s="263">
        <f>U979-U980</f>
        <v>735879394</v>
      </c>
      <c r="V981" s="262"/>
      <c r="W981" s="263">
        <f>W979-W980</f>
        <v>-41889743</v>
      </c>
      <c r="X981" s="262"/>
      <c r="Y981" s="263">
        <f>Y979-Y980</f>
        <v>1740267</v>
      </c>
      <c r="Z981" s="262"/>
      <c r="AA981" s="263">
        <f>AA979-AA980</f>
        <v>399987612</v>
      </c>
      <c r="AB981" s="262"/>
      <c r="AC981" s="263">
        <f>AC979-AC980</f>
        <v>-23841677.970001221</v>
      </c>
      <c r="AD981" s="262"/>
      <c r="AE981" s="263">
        <f>AE979-AE980</f>
        <v>289592343</v>
      </c>
      <c r="AF981" s="262"/>
      <c r="AG981" s="263">
        <f>AG979-AG980</f>
        <v>-115144556.55999756</v>
      </c>
      <c r="AH981" s="262"/>
      <c r="AI981" s="263">
        <f>AI979-AI980</f>
        <v>-70358817</v>
      </c>
    </row>
    <row r="982" spans="2:35" ht="12" thickBot="1">
      <c r="B982" s="476" t="s">
        <v>476</v>
      </c>
      <c r="C982" s="470"/>
      <c r="D982" s="262"/>
      <c r="E982" s="265"/>
      <c r="F982" s="262"/>
      <c r="G982" s="265">
        <f>-786953254+4</f>
        <v>-786953250</v>
      </c>
      <c r="H982" s="262"/>
      <c r="I982" s="265">
        <f>K982+M982+O982+Q982+S982+U982+W982+Y982+AA982+AC982+AE982+AG982+AI982+AK982+AM982</f>
        <v>0</v>
      </c>
      <c r="J982" s="262"/>
      <c r="K982" s="265">
        <f>M982+O982+Q982+S982+U982+W982+Y982+AA982+AC982+AE982+AG982+AI982+AK982+AM982+AO982</f>
        <v>0</v>
      </c>
      <c r="L982" s="262"/>
      <c r="M982" s="265">
        <f>O982+Q982+S982+U982+W982+Y982+AA982+AC982+AE982+AG982+AI982+AK982+AM982+AO982+AQ982</f>
        <v>0</v>
      </c>
      <c r="N982" s="262"/>
      <c r="O982" s="265">
        <f>Q982+S982+U982+W982+Y982+AA982+AC982+AE982+AG982+AI982+AK982+AM982+AO982+AQ982+AS982</f>
        <v>0</v>
      </c>
      <c r="P982" s="262"/>
      <c r="Q982" s="265">
        <f>S982+U982+W982+Y982+AA982+AC982+AE982+AG982+AI982+AK982+AM982+AO982+AQ982+AS982+AU982</f>
        <v>0</v>
      </c>
      <c r="R982" s="262"/>
      <c r="S982" s="265">
        <f>U982+W982+Y982+AA982+AC982+AE982+AG982+AI982+AK982+AM982+AO982+AQ982+AS982+AU982+AW982</f>
        <v>0</v>
      </c>
      <c r="T982" s="262"/>
      <c r="U982" s="265">
        <f>W982+Y982+AA982+AC982+AE982+AG982+AI982+AK982+AM982+AO982+AQ982+AS982+AU982+AW982+AY982</f>
        <v>0</v>
      </c>
      <c r="V982" s="262"/>
      <c r="W982" s="265">
        <f>Y982+AA982+AC982+AE982+AG982+AI982+AK982+AM982+AO982+AQ982+AS982+AU982+AW982+AY982+BA982</f>
        <v>0</v>
      </c>
      <c r="X982" s="262"/>
      <c r="Y982" s="265">
        <f>AA982+AC982+AE982+AG982+AI982+AK982+AM982+AO982+AQ982+AS982+AU982+AW982+AY982+BA982+BC982</f>
        <v>0</v>
      </c>
      <c r="Z982" s="262"/>
      <c r="AA982" s="265">
        <f>AC982+AE982+AG982+AI982+AK982+AM982+AO982+AQ982+AS982+AU982+AW982+AY982+BA982+BC982+BE982</f>
        <v>0</v>
      </c>
      <c r="AB982" s="262"/>
      <c r="AC982" s="265">
        <f>AE982+AG982+AI982+AK982+AM982+AO982+AQ982+AS982+AU982+AW982+AY982+BA982+BC982+BE982+BG982</f>
        <v>0</v>
      </c>
      <c r="AD982" s="262"/>
      <c r="AE982" s="265">
        <f>AG982+AI982+AK982+AM982+AO982+AQ982+AS982+AU982+AW982+AY982+BA982+BC982+BE982+BG982+BI982</f>
        <v>0</v>
      </c>
      <c r="AF982" s="262"/>
      <c r="AG982" s="265">
        <f>AI982+AK982+AM982+AO982+AQ982+AS982+AU982+AW982+AY982+BA982+BC982+BE982+BG982+BI982+BK982</f>
        <v>0</v>
      </c>
      <c r="AH982" s="262"/>
      <c r="AI982" s="265">
        <f>AK982+AM982+AO982+AQ982+AS982+AU982+AW982+AY982+BA982+BC982+BE982+BG982+BI982+BK982+BM982</f>
        <v>0</v>
      </c>
    </row>
    <row r="983" spans="2:35">
      <c r="B983" s="476" t="s">
        <v>725</v>
      </c>
      <c r="C983" s="470"/>
      <c r="D983" s="262"/>
      <c r="E983" s="263">
        <f>E981+E982</f>
        <v>-1278368933.5300293</v>
      </c>
      <c r="F983" s="262"/>
      <c r="G983" s="263">
        <f>G981+G982</f>
        <v>-1278368934</v>
      </c>
      <c r="H983" s="262"/>
      <c r="I983" s="263">
        <f>I981+I982</f>
        <v>69822842</v>
      </c>
      <c r="J983" s="262"/>
      <c r="K983" s="263">
        <f>K981+K982</f>
        <v>105443657</v>
      </c>
      <c r="L983" s="262"/>
      <c r="M983" s="263">
        <f>M981+M982</f>
        <v>-2002620340</v>
      </c>
      <c r="N983" s="262"/>
      <c r="O983" s="263">
        <f>O981+O982</f>
        <v>-81208035</v>
      </c>
      <c r="P983" s="262"/>
      <c r="Q983" s="263">
        <f>Q981+Q982</f>
        <v>4190833</v>
      </c>
      <c r="R983" s="262"/>
      <c r="S983" s="263">
        <f>S981+S982</f>
        <v>-58547028</v>
      </c>
      <c r="T983" s="262"/>
      <c r="U983" s="263">
        <f>U981+U982</f>
        <v>735879394</v>
      </c>
      <c r="V983" s="262"/>
      <c r="W983" s="263">
        <f>W981+W982</f>
        <v>-41889743</v>
      </c>
      <c r="X983" s="262"/>
      <c r="Y983" s="263">
        <f>Y981+Y982</f>
        <v>1740267</v>
      </c>
      <c r="Z983" s="262"/>
      <c r="AA983" s="263">
        <f>AA981+AA982</f>
        <v>399987612</v>
      </c>
      <c r="AB983" s="262"/>
      <c r="AC983" s="263">
        <f>AC981+AC982</f>
        <v>-23841677.970001221</v>
      </c>
      <c r="AD983" s="262"/>
      <c r="AE983" s="263">
        <f>AE981+AE982</f>
        <v>289592343</v>
      </c>
      <c r="AF983" s="262"/>
      <c r="AG983" s="263">
        <f>AG981+AG982</f>
        <v>-115144556.55999756</v>
      </c>
      <c r="AH983" s="262"/>
      <c r="AI983" s="263">
        <f>AI981+AI982</f>
        <v>-70358817</v>
      </c>
    </row>
    <row r="984" spans="2:35">
      <c r="B984" s="476" t="s">
        <v>726</v>
      </c>
      <c r="C984" s="470"/>
      <c r="D984" s="262"/>
      <c r="E984" s="263"/>
      <c r="F984" s="262"/>
      <c r="G984" s="263"/>
      <c r="H984" s="262"/>
      <c r="I984" s="263"/>
      <c r="J984" s="262"/>
      <c r="K984" s="263"/>
      <c r="L984" s="262"/>
      <c r="M984" s="263"/>
      <c r="N984" s="262"/>
      <c r="O984" s="263"/>
      <c r="P984" s="262"/>
      <c r="Q984" s="263"/>
      <c r="R984" s="262"/>
      <c r="S984" s="263"/>
      <c r="T984" s="262"/>
      <c r="U984" s="263"/>
      <c r="V984" s="262"/>
      <c r="W984" s="263"/>
      <c r="X984" s="262"/>
      <c r="Y984" s="263"/>
      <c r="Z984" s="262"/>
      <c r="AA984" s="263"/>
      <c r="AB984" s="262"/>
      <c r="AC984" s="263"/>
      <c r="AD984" s="262"/>
      <c r="AE984" s="263"/>
      <c r="AF984" s="262"/>
      <c r="AG984" s="263"/>
      <c r="AH984" s="262"/>
      <c r="AI984" s="263"/>
    </row>
    <row r="985" spans="2:35">
      <c r="B985" s="476" t="s">
        <v>727</v>
      </c>
      <c r="C985" s="470"/>
      <c r="D985" s="262"/>
      <c r="E985" s="263"/>
      <c r="F985" s="262"/>
      <c r="G985" s="263"/>
      <c r="H985" s="262"/>
      <c r="I985" s="263"/>
      <c r="J985" s="262"/>
      <c r="K985" s="263"/>
      <c r="L985" s="262"/>
      <c r="M985" s="263"/>
      <c r="N985" s="262"/>
      <c r="O985" s="263"/>
      <c r="P985" s="262"/>
      <c r="Q985" s="263"/>
      <c r="R985" s="262"/>
      <c r="S985" s="263"/>
      <c r="T985" s="262"/>
      <c r="U985" s="263"/>
      <c r="V985" s="262"/>
      <c r="W985" s="263"/>
      <c r="X985" s="262"/>
      <c r="Y985" s="263"/>
      <c r="Z985" s="262"/>
      <c r="AA985" s="263"/>
      <c r="AB985" s="262"/>
      <c r="AC985" s="263"/>
      <c r="AD985" s="262"/>
      <c r="AE985" s="263"/>
      <c r="AF985" s="262"/>
      <c r="AG985" s="263"/>
      <c r="AH985" s="262"/>
      <c r="AI985" s="263"/>
    </row>
    <row r="986" spans="2:35">
      <c r="B986" s="476" t="s">
        <v>322</v>
      </c>
      <c r="C986" s="470"/>
      <c r="D986" s="262">
        <f>F986+H986+J986+L986+N986+P986+R986+T986+V986+X986+Z986+AB986+AD986+AF986+AH986</f>
        <v>257232815</v>
      </c>
      <c r="E986" s="263"/>
      <c r="F986" s="262">
        <v>257232815</v>
      </c>
      <c r="G986" s="263"/>
      <c r="H986" s="262"/>
      <c r="I986" s="263"/>
      <c r="J986" s="262"/>
      <c r="K986" s="263"/>
      <c r="L986" s="262"/>
      <c r="M986" s="263"/>
      <c r="N986" s="262"/>
      <c r="O986" s="263"/>
      <c r="P986" s="262"/>
      <c r="Q986" s="263"/>
      <c r="R986" s="262"/>
      <c r="S986" s="263"/>
      <c r="T986" s="262"/>
      <c r="U986" s="263"/>
      <c r="V986" s="262"/>
      <c r="W986" s="263"/>
      <c r="X986" s="262"/>
      <c r="Y986" s="263"/>
      <c r="Z986" s="262"/>
      <c r="AA986" s="263"/>
      <c r="AB986" s="262"/>
      <c r="AC986" s="263"/>
      <c r="AD986" s="262"/>
      <c r="AE986" s="263"/>
      <c r="AF986" s="262"/>
      <c r="AG986" s="263"/>
      <c r="AH986" s="262"/>
      <c r="AI986" s="263"/>
    </row>
    <row r="987" spans="2:35">
      <c r="B987" s="476" t="s">
        <v>323</v>
      </c>
      <c r="C987" s="470"/>
      <c r="D987" s="262">
        <f>F987+H987+J987+L987+N987+P987+R987+T987+V987+X987+Z987+AB987+AD987+AF987+AH987</f>
        <v>0</v>
      </c>
      <c r="E987" s="263"/>
      <c r="F987" s="262"/>
      <c r="G987" s="263"/>
      <c r="H987" s="262"/>
      <c r="I987" s="263"/>
      <c r="J987" s="262"/>
      <c r="K987" s="263"/>
      <c r="L987" s="262"/>
      <c r="M987" s="263"/>
      <c r="N987" s="262"/>
      <c r="O987" s="263"/>
      <c r="P987" s="262"/>
      <c r="Q987" s="263"/>
      <c r="R987" s="262"/>
      <c r="S987" s="263"/>
      <c r="T987" s="262"/>
      <c r="U987" s="263"/>
      <c r="V987" s="262"/>
      <c r="W987" s="263"/>
      <c r="X987" s="262"/>
      <c r="Y987" s="263"/>
      <c r="Z987" s="262"/>
      <c r="AA987" s="263"/>
      <c r="AB987" s="262"/>
      <c r="AC987" s="263"/>
      <c r="AD987" s="262"/>
      <c r="AE987" s="263"/>
      <c r="AF987" s="262"/>
      <c r="AG987" s="263"/>
      <c r="AH987" s="262"/>
      <c r="AI987" s="263"/>
    </row>
    <row r="988" spans="2:35">
      <c r="B988" s="476" t="s">
        <v>324</v>
      </c>
      <c r="C988" s="470"/>
      <c r="D988" s="262">
        <f>F988+H988+J988+L988+N988+P988+R988+T988+V988+X988+Z988+AB988+AD988+AF988+AH988</f>
        <v>-90089910</v>
      </c>
      <c r="E988" s="263"/>
      <c r="F988" s="262">
        <v>-90089910</v>
      </c>
      <c r="G988" s="263"/>
      <c r="H988" s="262"/>
      <c r="I988" s="263"/>
      <c r="J988" s="262"/>
      <c r="K988" s="263"/>
      <c r="L988" s="262"/>
      <c r="M988" s="263"/>
      <c r="N988" s="262"/>
      <c r="O988" s="263"/>
      <c r="P988" s="262"/>
      <c r="Q988" s="263"/>
      <c r="R988" s="262"/>
      <c r="S988" s="263"/>
      <c r="T988" s="262"/>
      <c r="U988" s="263"/>
      <c r="V988" s="262"/>
      <c r="W988" s="263"/>
      <c r="X988" s="262"/>
      <c r="Y988" s="263"/>
      <c r="Z988" s="262"/>
      <c r="AA988" s="263"/>
      <c r="AB988" s="262"/>
      <c r="AC988" s="263"/>
      <c r="AD988" s="262"/>
      <c r="AE988" s="263"/>
      <c r="AF988" s="262"/>
      <c r="AG988" s="263"/>
      <c r="AH988" s="262"/>
      <c r="AI988" s="263"/>
    </row>
    <row r="989" spans="2:35" ht="12" thickBot="1">
      <c r="B989" s="476" t="s">
        <v>728</v>
      </c>
      <c r="C989" s="470"/>
      <c r="D989" s="262">
        <f>F989+H989+J989+L989+N989+P989+R989+T989+V989+X989+Z989+AB989+AD989+AF989+AH989</f>
        <v>-739280000</v>
      </c>
      <c r="E989" s="265">
        <f>+SUM(D985:D989)</f>
        <v>-572137095</v>
      </c>
      <c r="F989" s="264">
        <v>-739280000</v>
      </c>
      <c r="G989" s="265">
        <f>SUM(F985:F989)</f>
        <v>-572137095</v>
      </c>
      <c r="H989" s="264"/>
      <c r="I989" s="265">
        <f>+SUM(H985:H989)</f>
        <v>0</v>
      </c>
      <c r="J989" s="264"/>
      <c r="K989" s="265">
        <f>+SUM(J985:J989)</f>
        <v>0</v>
      </c>
      <c r="L989" s="264"/>
      <c r="M989" s="265">
        <f>+SUM(L985:L989)</f>
        <v>0</v>
      </c>
      <c r="N989" s="264"/>
      <c r="O989" s="265">
        <f>+SUM(N985:N989)</f>
        <v>0</v>
      </c>
      <c r="P989" s="264"/>
      <c r="Q989" s="265">
        <f>+SUM(P985:P989)</f>
        <v>0</v>
      </c>
      <c r="R989" s="264"/>
      <c r="S989" s="265">
        <f>+SUM(R985:R989)</f>
        <v>0</v>
      </c>
      <c r="T989" s="264"/>
      <c r="U989" s="265">
        <f>+SUM(T985:T989)</f>
        <v>0</v>
      </c>
      <c r="V989" s="264"/>
      <c r="W989" s="265">
        <f>+SUM(V985:V989)</f>
        <v>0</v>
      </c>
      <c r="X989" s="264"/>
      <c r="Y989" s="265">
        <f>+SUM(X985:X989)</f>
        <v>0</v>
      </c>
      <c r="Z989" s="264"/>
      <c r="AA989" s="265">
        <f>+SUM(Z985:Z989)</f>
        <v>0</v>
      </c>
      <c r="AB989" s="264"/>
      <c r="AC989" s="265">
        <f>+SUM(AB985:AB989)</f>
        <v>0</v>
      </c>
      <c r="AD989" s="264"/>
      <c r="AE989" s="265">
        <f>+SUM(AD985:AD989)</f>
        <v>0</v>
      </c>
      <c r="AF989" s="264"/>
      <c r="AG989" s="265">
        <f>+SUM(AF985:AF989)</f>
        <v>0</v>
      </c>
      <c r="AH989" s="264"/>
      <c r="AI989" s="265">
        <f>+SUM(AH985:AH989)</f>
        <v>0</v>
      </c>
    </row>
    <row r="990" spans="2:35" ht="21.75">
      <c r="B990" s="461" t="s">
        <v>729</v>
      </c>
      <c r="C990" s="471"/>
      <c r="D990" s="262"/>
      <c r="E990" s="263">
        <f>+E983-E989</f>
        <v>-706231838.5300293</v>
      </c>
      <c r="F990" s="262"/>
      <c r="G990" s="263">
        <f>+G983-G989</f>
        <v>-706231839</v>
      </c>
      <c r="H990" s="262"/>
      <c r="I990" s="263">
        <f>+I983-I989</f>
        <v>69822842</v>
      </c>
      <c r="J990" s="262"/>
      <c r="K990" s="263">
        <f>+K983-K989</f>
        <v>105443657</v>
      </c>
      <c r="L990" s="262"/>
      <c r="M990" s="263">
        <f>+M983-M989</f>
        <v>-2002620340</v>
      </c>
      <c r="N990" s="262"/>
      <c r="O990" s="263">
        <f>+O983-O989</f>
        <v>-81208035</v>
      </c>
      <c r="P990" s="262"/>
      <c r="Q990" s="263">
        <f>+Q983-Q989</f>
        <v>4190833</v>
      </c>
      <c r="R990" s="262"/>
      <c r="S990" s="263">
        <f>+S983-S989</f>
        <v>-58547028</v>
      </c>
      <c r="T990" s="262"/>
      <c r="U990" s="263">
        <f>+U983-U989</f>
        <v>735879394</v>
      </c>
      <c r="V990" s="262"/>
      <c r="W990" s="263">
        <f>+W983-W989</f>
        <v>-41889743</v>
      </c>
      <c r="X990" s="262"/>
      <c r="Y990" s="263">
        <f>+Y983-Y989</f>
        <v>1740267</v>
      </c>
      <c r="Z990" s="262"/>
      <c r="AA990" s="263">
        <f>+AA983-AA989</f>
        <v>399987612</v>
      </c>
      <c r="AB990" s="262"/>
      <c r="AC990" s="263">
        <f>+AC983-AC989</f>
        <v>-23841677.970001221</v>
      </c>
      <c r="AD990" s="262"/>
      <c r="AE990" s="263">
        <f>+AE983-AE989</f>
        <v>289592343</v>
      </c>
      <c r="AF990" s="262"/>
      <c r="AG990" s="263">
        <f>+AG983-AG989</f>
        <v>-115144556.55999756</v>
      </c>
      <c r="AH990" s="262"/>
      <c r="AI990" s="263">
        <f>+AI983-AI989</f>
        <v>-70358817</v>
      </c>
    </row>
    <row r="991" spans="2:35">
      <c r="B991" s="476" t="s">
        <v>730</v>
      </c>
      <c r="C991" s="471"/>
      <c r="D991" s="262"/>
      <c r="E991" s="263">
        <v>0</v>
      </c>
      <c r="F991" s="262"/>
      <c r="G991" s="263"/>
      <c r="H991" s="262"/>
      <c r="I991" s="263"/>
      <c r="J991" s="262"/>
      <c r="K991" s="263"/>
      <c r="L991" s="262"/>
      <c r="M991" s="263"/>
      <c r="N991" s="262"/>
      <c r="O991" s="263"/>
      <c r="P991" s="262"/>
      <c r="Q991" s="263"/>
      <c r="R991" s="262"/>
      <c r="S991" s="263"/>
      <c r="T991" s="262"/>
      <c r="U991" s="263"/>
      <c r="V991" s="262"/>
      <c r="W991" s="263"/>
      <c r="X991" s="262"/>
      <c r="Y991" s="263"/>
      <c r="Z991" s="262"/>
      <c r="AA991" s="263"/>
      <c r="AB991" s="262"/>
      <c r="AC991" s="263"/>
      <c r="AD991" s="262"/>
      <c r="AE991" s="263"/>
      <c r="AF991" s="262"/>
      <c r="AG991" s="263"/>
      <c r="AH991" s="262"/>
      <c r="AI991" s="263"/>
    </row>
    <row r="992" spans="2:35" ht="12" thickBot="1">
      <c r="B992" s="476" t="s">
        <v>731</v>
      </c>
      <c r="C992" s="471"/>
      <c r="D992" s="264"/>
      <c r="E992" s="265">
        <f>+D991-D992</f>
        <v>0</v>
      </c>
      <c r="F992" s="264"/>
      <c r="G992" s="265">
        <f>+F991-F992</f>
        <v>0</v>
      </c>
      <c r="H992" s="264"/>
      <c r="I992" s="265">
        <f>+H991-H992</f>
        <v>0</v>
      </c>
      <c r="J992" s="264"/>
      <c r="K992" s="265">
        <f>+J991-J992</f>
        <v>0</v>
      </c>
      <c r="L992" s="264"/>
      <c r="M992" s="265">
        <f>+L991-L992</f>
        <v>0</v>
      </c>
      <c r="N992" s="264"/>
      <c r="O992" s="265">
        <f>+N991-N992</f>
        <v>0</v>
      </c>
      <c r="P992" s="264"/>
      <c r="Q992" s="265">
        <f>+P991-P992</f>
        <v>0</v>
      </c>
      <c r="R992" s="264"/>
      <c r="S992" s="265">
        <f>+R991-R992</f>
        <v>0</v>
      </c>
      <c r="T992" s="264"/>
      <c r="U992" s="265">
        <f>+T991-T992</f>
        <v>0</v>
      </c>
      <c r="V992" s="264"/>
      <c r="W992" s="265">
        <f>+V991-V992</f>
        <v>0</v>
      </c>
      <c r="X992" s="264"/>
      <c r="Y992" s="265">
        <f>+X991-X992</f>
        <v>0</v>
      </c>
      <c r="Z992" s="264"/>
      <c r="AA992" s="265">
        <f>+Z991-Z992</f>
        <v>0</v>
      </c>
      <c r="AB992" s="264"/>
      <c r="AC992" s="265">
        <f>+AB991-AB992</f>
        <v>0</v>
      </c>
      <c r="AD992" s="264"/>
      <c r="AE992" s="265">
        <f>+AD991-AD992</f>
        <v>0</v>
      </c>
      <c r="AF992" s="264"/>
      <c r="AG992" s="265">
        <f>+AF991-AF992</f>
        <v>0</v>
      </c>
      <c r="AH992" s="264"/>
      <c r="AI992" s="265">
        <f>+AH991-AH992</f>
        <v>0</v>
      </c>
    </row>
    <row r="993" spans="2:35" ht="21.75">
      <c r="B993" s="484" t="s">
        <v>741</v>
      </c>
      <c r="C993" s="471"/>
      <c r="D993" s="262"/>
      <c r="E993" s="263">
        <f>E991-E992</f>
        <v>0</v>
      </c>
      <c r="F993" s="262"/>
      <c r="G993" s="263">
        <f>G991-G992</f>
        <v>0</v>
      </c>
      <c r="H993" s="262"/>
      <c r="I993" s="263">
        <f>I991-I992</f>
        <v>0</v>
      </c>
      <c r="J993" s="262"/>
      <c r="K993" s="263">
        <f>K991-K992</f>
        <v>0</v>
      </c>
      <c r="L993" s="262"/>
      <c r="M993" s="263">
        <f>M991-M992</f>
        <v>0</v>
      </c>
      <c r="N993" s="262"/>
      <c r="O993" s="263">
        <f>O991-O992</f>
        <v>0</v>
      </c>
      <c r="P993" s="262"/>
      <c r="Q993" s="263">
        <f>Q991-Q992</f>
        <v>0</v>
      </c>
      <c r="R993" s="262"/>
      <c r="S993" s="263">
        <f>S991-S992</f>
        <v>0</v>
      </c>
      <c r="T993" s="262"/>
      <c r="U993" s="263">
        <f>U991-U992</f>
        <v>0</v>
      </c>
      <c r="V993" s="262"/>
      <c r="W993" s="263">
        <f>W991-W992</f>
        <v>0</v>
      </c>
      <c r="X993" s="262"/>
      <c r="Y993" s="263">
        <f>Y991-Y992</f>
        <v>0</v>
      </c>
      <c r="Z993" s="262"/>
      <c r="AA993" s="263">
        <f>AA991-AA992</f>
        <v>0</v>
      </c>
      <c r="AB993" s="262"/>
      <c r="AC993" s="263">
        <f>AC991-AC992</f>
        <v>0</v>
      </c>
      <c r="AD993" s="262"/>
      <c r="AE993" s="263">
        <f>AE991-AE992</f>
        <v>0</v>
      </c>
      <c r="AF993" s="262"/>
      <c r="AG993" s="263">
        <f>AG991-AG992</f>
        <v>0</v>
      </c>
      <c r="AH993" s="262"/>
      <c r="AI993" s="263">
        <f>AI991-AI992</f>
        <v>0</v>
      </c>
    </row>
    <row r="994" spans="2:35">
      <c r="B994" s="476" t="s">
        <v>742</v>
      </c>
      <c r="C994" s="471"/>
      <c r="D994" s="262"/>
      <c r="E994" s="297">
        <f>+E990+E993</f>
        <v>-706231838.5300293</v>
      </c>
      <c r="F994" s="262"/>
      <c r="G994" s="263">
        <f>+G990+G993</f>
        <v>-706231839</v>
      </c>
      <c r="H994" s="262"/>
      <c r="I994" s="263">
        <f>+I990+I993</f>
        <v>69822842</v>
      </c>
      <c r="J994" s="262"/>
      <c r="K994" s="263">
        <f>+K990+K993</f>
        <v>105443657</v>
      </c>
      <c r="L994" s="262"/>
      <c r="M994" s="263">
        <f>+M990+M993</f>
        <v>-2002620340</v>
      </c>
      <c r="N994" s="262"/>
      <c r="O994" s="263">
        <f>+O990+O993</f>
        <v>-81208035</v>
      </c>
      <c r="P994" s="262"/>
      <c r="Q994" s="263">
        <f>+Q990+Q993</f>
        <v>4190833</v>
      </c>
      <c r="R994" s="262"/>
      <c r="S994" s="263">
        <f>+S990+S993</f>
        <v>-58547028</v>
      </c>
      <c r="T994" s="262"/>
      <c r="U994" s="263">
        <f>+U990+U993</f>
        <v>735879394</v>
      </c>
      <c r="V994" s="262"/>
      <c r="W994" s="263">
        <f>+W990+W993</f>
        <v>-41889743</v>
      </c>
      <c r="X994" s="262"/>
      <c r="Y994" s="263">
        <f>+Y990+Y993</f>
        <v>1740267</v>
      </c>
      <c r="Z994" s="262"/>
      <c r="AA994" s="263">
        <f>+AA990+AA993</f>
        <v>399987612</v>
      </c>
      <c r="AB994" s="262"/>
      <c r="AC994" s="263">
        <f>+AC990+AC993</f>
        <v>-23841677.970001221</v>
      </c>
      <c r="AD994" s="262"/>
      <c r="AE994" s="263">
        <f>+AE990+AE993</f>
        <v>289592343</v>
      </c>
      <c r="AF994" s="262"/>
      <c r="AG994" s="263">
        <f>+AG990+AG993</f>
        <v>-115144556.55999756</v>
      </c>
      <c r="AH994" s="262"/>
      <c r="AI994" s="263">
        <f>+AI990+AI993</f>
        <v>-70358817</v>
      </c>
    </row>
    <row r="995" spans="2:35">
      <c r="B995" s="476"/>
      <c r="C995" s="471"/>
      <c r="D995" s="262"/>
      <c r="E995" s="263"/>
      <c r="F995" s="262"/>
      <c r="G995" s="263"/>
      <c r="H995" s="262"/>
      <c r="I995" s="263"/>
      <c r="J995" s="262"/>
      <c r="K995" s="263"/>
      <c r="L995" s="262"/>
      <c r="M995" s="263"/>
      <c r="N995" s="262"/>
      <c r="O995" s="263"/>
      <c r="P995" s="262"/>
      <c r="Q995" s="263"/>
      <c r="R995" s="262"/>
      <c r="S995" s="263"/>
      <c r="T995" s="262"/>
      <c r="U995" s="263"/>
      <c r="V995" s="262"/>
      <c r="W995" s="263"/>
      <c r="X995" s="262"/>
      <c r="Y995" s="263"/>
      <c r="Z995" s="262"/>
      <c r="AA995" s="263"/>
      <c r="AB995" s="262"/>
      <c r="AC995" s="263"/>
      <c r="AD995" s="262"/>
      <c r="AE995" s="263"/>
      <c r="AF995" s="262"/>
      <c r="AG995" s="263"/>
      <c r="AH995" s="262"/>
      <c r="AI995" s="263"/>
    </row>
    <row r="996" spans="2:35">
      <c r="B996" s="476" t="s">
        <v>743</v>
      </c>
      <c r="C996" s="471"/>
      <c r="D996" s="262"/>
      <c r="E996" s="263"/>
      <c r="F996" s="262"/>
      <c r="G996" s="263"/>
      <c r="H996" s="262"/>
      <c r="I996" s="263"/>
      <c r="J996" s="262"/>
      <c r="K996" s="263"/>
      <c r="L996" s="262"/>
      <c r="M996" s="263"/>
      <c r="N996" s="262"/>
      <c r="O996" s="263"/>
      <c r="P996" s="262"/>
      <c r="Q996" s="263"/>
      <c r="R996" s="262"/>
      <c r="S996" s="263"/>
      <c r="T996" s="262"/>
      <c r="U996" s="263"/>
      <c r="V996" s="262" t="s">
        <v>167</v>
      </c>
      <c r="W996" s="263"/>
      <c r="X996" s="262"/>
      <c r="Y996" s="263"/>
      <c r="Z996" s="262"/>
      <c r="AA996" s="263"/>
      <c r="AB996" s="262"/>
      <c r="AC996" s="263"/>
      <c r="AD996" s="262"/>
      <c r="AE996" s="263"/>
      <c r="AF996" s="262"/>
      <c r="AG996" s="263"/>
      <c r="AH996" s="262"/>
      <c r="AI996" s="263"/>
    </row>
    <row r="997" spans="2:35">
      <c r="B997" s="476" t="s">
        <v>744</v>
      </c>
      <c r="C997" s="471"/>
      <c r="D997" s="262"/>
      <c r="E997" s="536">
        <f>+E994/1000000000</f>
        <v>-0.70623183853002924</v>
      </c>
      <c r="F997" s="262"/>
      <c r="G997" s="263"/>
      <c r="H997" s="262"/>
      <c r="I997" s="263"/>
      <c r="J997" s="262"/>
      <c r="K997" s="263"/>
      <c r="L997" s="262"/>
      <c r="M997" s="263"/>
      <c r="N997" s="262"/>
      <c r="O997" s="263"/>
      <c r="P997" s="262"/>
      <c r="Q997" s="263"/>
      <c r="R997" s="262"/>
      <c r="S997" s="263"/>
      <c r="T997" s="262"/>
      <c r="U997" s="263"/>
      <c r="V997" s="262"/>
      <c r="W997" s="263"/>
      <c r="X997" s="262"/>
      <c r="Y997" s="263"/>
      <c r="Z997" s="262"/>
      <c r="AA997" s="263"/>
      <c r="AB997" s="262"/>
      <c r="AC997" s="263"/>
      <c r="AD997" s="262"/>
      <c r="AE997" s="263"/>
      <c r="AF997" s="262"/>
      <c r="AG997" s="263"/>
      <c r="AH997" s="262"/>
      <c r="AI997" s="263"/>
    </row>
    <row r="998" spans="2:35" ht="12" thickBot="1">
      <c r="B998" s="467" t="s">
        <v>745</v>
      </c>
      <c r="C998" s="467"/>
      <c r="D998" s="264"/>
      <c r="E998" s="537">
        <f>+E994/1000000000</f>
        <v>-0.70623183853002924</v>
      </c>
      <c r="F998" s="264"/>
      <c r="G998" s="265"/>
      <c r="H998" s="264"/>
      <c r="I998" s="265"/>
      <c r="J998" s="264"/>
      <c r="K998" s="265"/>
      <c r="L998" s="264"/>
      <c r="M998" s="265"/>
      <c r="N998" s="264"/>
      <c r="O998" s="265"/>
      <c r="P998" s="264"/>
      <c r="Q998" s="265"/>
      <c r="R998" s="264"/>
      <c r="S998" s="265"/>
      <c r="T998" s="264"/>
      <c r="U998" s="265"/>
      <c r="V998" s="264"/>
      <c r="W998" s="265"/>
      <c r="X998" s="264"/>
      <c r="Y998" s="265"/>
      <c r="Z998" s="264"/>
      <c r="AA998" s="265"/>
      <c r="AB998" s="264"/>
      <c r="AC998" s="265"/>
      <c r="AD998" s="264"/>
      <c r="AE998" s="265"/>
      <c r="AF998" s="264"/>
      <c r="AG998" s="265"/>
      <c r="AH998" s="264"/>
      <c r="AI998" s="265"/>
    </row>
    <row r="1006" spans="2:35">
      <c r="F1006" s="654">
        <f>E994-G994</f>
        <v>0.469970703125</v>
      </c>
      <c r="G1006" s="654">
        <v>718400207</v>
      </c>
    </row>
  </sheetData>
  <mergeCells count="664">
    <mergeCell ref="B4:E5"/>
    <mergeCell ref="D6:E6"/>
    <mergeCell ref="D7:E7"/>
    <mergeCell ref="F7:G7"/>
    <mergeCell ref="B18:G18"/>
    <mergeCell ref="B20:G20"/>
    <mergeCell ref="B34:G34"/>
    <mergeCell ref="B36:G36"/>
    <mergeCell ref="B38:G38"/>
    <mergeCell ref="D42:E42"/>
    <mergeCell ref="F42:G42"/>
    <mergeCell ref="D86:E86"/>
    <mergeCell ref="F86:G86"/>
    <mergeCell ref="B22:G22"/>
    <mergeCell ref="B24:G24"/>
    <mergeCell ref="B26:G26"/>
    <mergeCell ref="B28:G28"/>
    <mergeCell ref="B30:G30"/>
    <mergeCell ref="B32:G32"/>
    <mergeCell ref="AF86:AG86"/>
    <mergeCell ref="AH86:AI86"/>
    <mergeCell ref="B119:G119"/>
    <mergeCell ref="B121:G121"/>
    <mergeCell ref="B123:G123"/>
    <mergeCell ref="D127:E127"/>
    <mergeCell ref="F127:G127"/>
    <mergeCell ref="H127:I127"/>
    <mergeCell ref="J127:K127"/>
    <mergeCell ref="L127:M127"/>
    <mergeCell ref="T86:U86"/>
    <mergeCell ref="V86:W86"/>
    <mergeCell ref="X86:Y86"/>
    <mergeCell ref="Z86:AA86"/>
    <mergeCell ref="AB86:AC86"/>
    <mergeCell ref="AD86:AE86"/>
    <mergeCell ref="H86:I86"/>
    <mergeCell ref="J86:K86"/>
    <mergeCell ref="L86:M86"/>
    <mergeCell ref="N86:O86"/>
    <mergeCell ref="P86:Q86"/>
    <mergeCell ref="R86:S86"/>
    <mergeCell ref="Z127:AA127"/>
    <mergeCell ref="AB127:AC127"/>
    <mergeCell ref="AD127:AE127"/>
    <mergeCell ref="AF127:AG127"/>
    <mergeCell ref="AH127:AI127"/>
    <mergeCell ref="B137:G137"/>
    <mergeCell ref="N127:O127"/>
    <mergeCell ref="P127:Q127"/>
    <mergeCell ref="R127:S127"/>
    <mergeCell ref="T127:U127"/>
    <mergeCell ref="V127:W127"/>
    <mergeCell ref="X127:Y127"/>
    <mergeCell ref="AB141:AC141"/>
    <mergeCell ref="AD141:AE141"/>
    <mergeCell ref="AF141:AG141"/>
    <mergeCell ref="AH141:AI141"/>
    <mergeCell ref="D159:E159"/>
    <mergeCell ref="F159:G159"/>
    <mergeCell ref="H159:I159"/>
    <mergeCell ref="J159:K159"/>
    <mergeCell ref="L159:M159"/>
    <mergeCell ref="N159:O159"/>
    <mergeCell ref="P141:Q141"/>
    <mergeCell ref="R141:S141"/>
    <mergeCell ref="T141:U141"/>
    <mergeCell ref="V141:W141"/>
    <mergeCell ref="X141:Y141"/>
    <mergeCell ref="Z141:AA141"/>
    <mergeCell ref="D141:E141"/>
    <mergeCell ref="F141:G141"/>
    <mergeCell ref="H141:I141"/>
    <mergeCell ref="J141:K141"/>
    <mergeCell ref="L141:M141"/>
    <mergeCell ref="N141:O141"/>
    <mergeCell ref="AB159:AC159"/>
    <mergeCell ref="AD159:AE159"/>
    <mergeCell ref="AF159:AG159"/>
    <mergeCell ref="AH159:AI159"/>
    <mergeCell ref="B170:G170"/>
    <mergeCell ref="B172:G172"/>
    <mergeCell ref="P159:Q159"/>
    <mergeCell ref="R159:S159"/>
    <mergeCell ref="T159:U159"/>
    <mergeCell ref="V159:W159"/>
    <mergeCell ref="X159:Y159"/>
    <mergeCell ref="Z159:AA159"/>
    <mergeCell ref="AB176:AC176"/>
    <mergeCell ref="AD176:AE176"/>
    <mergeCell ref="AF176:AG176"/>
    <mergeCell ref="AH176:AI176"/>
    <mergeCell ref="B184:G184"/>
    <mergeCell ref="B186:G186"/>
    <mergeCell ref="P176:Q176"/>
    <mergeCell ref="R176:S176"/>
    <mergeCell ref="T176:U176"/>
    <mergeCell ref="V176:W176"/>
    <mergeCell ref="X176:Y176"/>
    <mergeCell ref="Z176:AA176"/>
    <mergeCell ref="D176:E176"/>
    <mergeCell ref="F176:G176"/>
    <mergeCell ref="H176:I176"/>
    <mergeCell ref="J176:K176"/>
    <mergeCell ref="L176:M176"/>
    <mergeCell ref="N176:O176"/>
    <mergeCell ref="AB190:AC190"/>
    <mergeCell ref="AD190:AE190"/>
    <mergeCell ref="AF190:AG190"/>
    <mergeCell ref="AH190:AI190"/>
    <mergeCell ref="B195:C195"/>
    <mergeCell ref="B196:C196"/>
    <mergeCell ref="P190:Q190"/>
    <mergeCell ref="R190:S190"/>
    <mergeCell ref="T190:U190"/>
    <mergeCell ref="V190:W190"/>
    <mergeCell ref="X190:Y190"/>
    <mergeCell ref="Z190:AA190"/>
    <mergeCell ref="D190:E190"/>
    <mergeCell ref="F190:G190"/>
    <mergeCell ref="H190:I190"/>
    <mergeCell ref="J190:K190"/>
    <mergeCell ref="L190:M190"/>
    <mergeCell ref="N190:O190"/>
    <mergeCell ref="B205:C205"/>
    <mergeCell ref="B207:C207"/>
    <mergeCell ref="B208:C208"/>
    <mergeCell ref="B209:C209"/>
    <mergeCell ref="B210:C210"/>
    <mergeCell ref="D215:E215"/>
    <mergeCell ref="B198:C198"/>
    <mergeCell ref="B199:C199"/>
    <mergeCell ref="B200:C200"/>
    <mergeCell ref="B201:C201"/>
    <mergeCell ref="B202:C202"/>
    <mergeCell ref="B204:C204"/>
    <mergeCell ref="AD215:AE215"/>
    <mergeCell ref="AF215:AG215"/>
    <mergeCell ref="AH215:AI215"/>
    <mergeCell ref="D244:E244"/>
    <mergeCell ref="F244:G244"/>
    <mergeCell ref="B291:G291"/>
    <mergeCell ref="R215:S215"/>
    <mergeCell ref="T215:U215"/>
    <mergeCell ref="V215:W215"/>
    <mergeCell ref="X215:Y215"/>
    <mergeCell ref="Z215:AA215"/>
    <mergeCell ref="AB215:AC215"/>
    <mergeCell ref="F215:G215"/>
    <mergeCell ref="H215:I215"/>
    <mergeCell ref="J215:K215"/>
    <mergeCell ref="L215:M215"/>
    <mergeCell ref="N215:O215"/>
    <mergeCell ref="P215:Q215"/>
    <mergeCell ref="AB310:AC310"/>
    <mergeCell ref="AD310:AE310"/>
    <mergeCell ref="AF310:AG310"/>
    <mergeCell ref="AH310:AI310"/>
    <mergeCell ref="B348:G348"/>
    <mergeCell ref="D353:E353"/>
    <mergeCell ref="F353:G353"/>
    <mergeCell ref="H353:I353"/>
    <mergeCell ref="J353:K353"/>
    <mergeCell ref="L353:M353"/>
    <mergeCell ref="P310:Q310"/>
    <mergeCell ref="R310:S310"/>
    <mergeCell ref="T310:U310"/>
    <mergeCell ref="V310:W310"/>
    <mergeCell ref="X310:Y310"/>
    <mergeCell ref="Z310:AA310"/>
    <mergeCell ref="D310:E310"/>
    <mergeCell ref="F310:G310"/>
    <mergeCell ref="H310:I310"/>
    <mergeCell ref="J310:K310"/>
    <mergeCell ref="L310:M310"/>
    <mergeCell ref="N310:O310"/>
    <mergeCell ref="Z353:AA353"/>
    <mergeCell ref="AB353:AC353"/>
    <mergeCell ref="AD353:AE353"/>
    <mergeCell ref="AF353:AG353"/>
    <mergeCell ref="AH353:AI353"/>
    <mergeCell ref="B369:G369"/>
    <mergeCell ref="N353:O353"/>
    <mergeCell ref="P353:Q353"/>
    <mergeCell ref="R353:S353"/>
    <mergeCell ref="T353:U353"/>
    <mergeCell ref="V353:W353"/>
    <mergeCell ref="X353:Y353"/>
    <mergeCell ref="AB376:AC376"/>
    <mergeCell ref="AD376:AE376"/>
    <mergeCell ref="AF376:AG376"/>
    <mergeCell ref="AH376:AI376"/>
    <mergeCell ref="B395:G395"/>
    <mergeCell ref="D400:E400"/>
    <mergeCell ref="F400:G400"/>
    <mergeCell ref="H400:I400"/>
    <mergeCell ref="J400:K400"/>
    <mergeCell ref="L400:M400"/>
    <mergeCell ref="P376:Q376"/>
    <mergeCell ref="R376:S376"/>
    <mergeCell ref="T376:U376"/>
    <mergeCell ref="V376:W376"/>
    <mergeCell ref="X376:Y376"/>
    <mergeCell ref="Z376:AA376"/>
    <mergeCell ref="D376:E376"/>
    <mergeCell ref="F376:G376"/>
    <mergeCell ref="H376:I376"/>
    <mergeCell ref="J376:K376"/>
    <mergeCell ref="L376:M376"/>
    <mergeCell ref="N376:O376"/>
    <mergeCell ref="AF400:AG400"/>
    <mergeCell ref="AH400:AI400"/>
    <mergeCell ref="B415:G415"/>
    <mergeCell ref="N400:O400"/>
    <mergeCell ref="P400:Q400"/>
    <mergeCell ref="R400:S400"/>
    <mergeCell ref="T400:U400"/>
    <mergeCell ref="V400:W400"/>
    <mergeCell ref="X400:Y400"/>
    <mergeCell ref="B417:G417"/>
    <mergeCell ref="B419:G419"/>
    <mergeCell ref="B421:G421"/>
    <mergeCell ref="D424:E424"/>
    <mergeCell ref="F424:G424"/>
    <mergeCell ref="H424:I424"/>
    <mergeCell ref="Z400:AA400"/>
    <mergeCell ref="AB400:AC400"/>
    <mergeCell ref="AD400:AE400"/>
    <mergeCell ref="AH424:AI424"/>
    <mergeCell ref="D433:E433"/>
    <mergeCell ref="F433:G433"/>
    <mergeCell ref="H433:I433"/>
    <mergeCell ref="J433:K433"/>
    <mergeCell ref="L433:M433"/>
    <mergeCell ref="N433:O433"/>
    <mergeCell ref="P433:Q433"/>
    <mergeCell ref="R433:S433"/>
    <mergeCell ref="T433:U433"/>
    <mergeCell ref="V424:W424"/>
    <mergeCell ref="X424:Y424"/>
    <mergeCell ref="Z424:AA424"/>
    <mergeCell ref="AB424:AC424"/>
    <mergeCell ref="AD424:AE424"/>
    <mergeCell ref="AF424:AG424"/>
    <mergeCell ref="J424:K424"/>
    <mergeCell ref="L424:M424"/>
    <mergeCell ref="N424:O424"/>
    <mergeCell ref="P424:Q424"/>
    <mergeCell ref="R424:S424"/>
    <mergeCell ref="T424:U424"/>
    <mergeCell ref="AH433:AI433"/>
    <mergeCell ref="B435:B436"/>
    <mergeCell ref="B453:G453"/>
    <mergeCell ref="D457:E457"/>
    <mergeCell ref="F457:G457"/>
    <mergeCell ref="H457:I457"/>
    <mergeCell ref="J457:K457"/>
    <mergeCell ref="L457:M457"/>
    <mergeCell ref="N457:O457"/>
    <mergeCell ref="P457:Q457"/>
    <mergeCell ref="V433:W433"/>
    <mergeCell ref="X433:Y433"/>
    <mergeCell ref="Z433:AA433"/>
    <mergeCell ref="AB433:AC433"/>
    <mergeCell ref="AD433:AE433"/>
    <mergeCell ref="AF433:AG433"/>
    <mergeCell ref="AD457:AE457"/>
    <mergeCell ref="AF457:AG457"/>
    <mergeCell ref="AH457:AI457"/>
    <mergeCell ref="V457:W457"/>
    <mergeCell ref="X457:Y457"/>
    <mergeCell ref="Z457:AA457"/>
    <mergeCell ref="AB457:AC457"/>
    <mergeCell ref="AF479:AG479"/>
    <mergeCell ref="AH479:AI479"/>
    <mergeCell ref="B508:G508"/>
    <mergeCell ref="N479:O479"/>
    <mergeCell ref="P479:Q479"/>
    <mergeCell ref="R479:S479"/>
    <mergeCell ref="T479:U479"/>
    <mergeCell ref="V479:W479"/>
    <mergeCell ref="X479:Y479"/>
    <mergeCell ref="B469:C469"/>
    <mergeCell ref="B475:G475"/>
    <mergeCell ref="D479:E479"/>
    <mergeCell ref="F479:G479"/>
    <mergeCell ref="H479:I479"/>
    <mergeCell ref="J479:K479"/>
    <mergeCell ref="L479:M479"/>
    <mergeCell ref="R457:S457"/>
    <mergeCell ref="T457:U457"/>
    <mergeCell ref="B510:G510"/>
    <mergeCell ref="D513:E513"/>
    <mergeCell ref="F513:G513"/>
    <mergeCell ref="H513:I513"/>
    <mergeCell ref="J513:K513"/>
    <mergeCell ref="L513:M513"/>
    <mergeCell ref="Z479:AA479"/>
    <mergeCell ref="AB479:AC479"/>
    <mergeCell ref="AD479:AE479"/>
    <mergeCell ref="Z513:AA513"/>
    <mergeCell ref="AB513:AC513"/>
    <mergeCell ref="AD513:AE513"/>
    <mergeCell ref="AF513:AG513"/>
    <mergeCell ref="AH513:AI513"/>
    <mergeCell ref="B522:G522"/>
    <mergeCell ref="N513:O513"/>
    <mergeCell ref="P513:Q513"/>
    <mergeCell ref="R513:S513"/>
    <mergeCell ref="T513:U513"/>
    <mergeCell ref="V513:W513"/>
    <mergeCell ref="X513:Y513"/>
    <mergeCell ref="B538:G538"/>
    <mergeCell ref="B540:G540"/>
    <mergeCell ref="B542:G542"/>
    <mergeCell ref="B544:G544"/>
    <mergeCell ref="B548:G548"/>
    <mergeCell ref="B550:G550"/>
    <mergeCell ref="B526:G526"/>
    <mergeCell ref="B528:G528"/>
    <mergeCell ref="B530:G530"/>
    <mergeCell ref="B532:G532"/>
    <mergeCell ref="B534:G534"/>
    <mergeCell ref="B536:G536"/>
    <mergeCell ref="AB556:AC556"/>
    <mergeCell ref="AD556:AE556"/>
    <mergeCell ref="AF556:AG556"/>
    <mergeCell ref="AH556:AI556"/>
    <mergeCell ref="B570:G570"/>
    <mergeCell ref="B572:G572"/>
    <mergeCell ref="P556:Q556"/>
    <mergeCell ref="R556:S556"/>
    <mergeCell ref="T556:U556"/>
    <mergeCell ref="V556:W556"/>
    <mergeCell ref="X556:Y556"/>
    <mergeCell ref="Z556:AA556"/>
    <mergeCell ref="D556:E556"/>
    <mergeCell ref="F556:G556"/>
    <mergeCell ref="H556:I556"/>
    <mergeCell ref="J556:K556"/>
    <mergeCell ref="L556:M556"/>
    <mergeCell ref="N556:O556"/>
    <mergeCell ref="AB576:AC576"/>
    <mergeCell ref="AD576:AE576"/>
    <mergeCell ref="AF576:AG576"/>
    <mergeCell ref="AH576:AI576"/>
    <mergeCell ref="B595:G595"/>
    <mergeCell ref="D599:E599"/>
    <mergeCell ref="F599:G599"/>
    <mergeCell ref="H599:I599"/>
    <mergeCell ref="J599:K599"/>
    <mergeCell ref="L599:M599"/>
    <mergeCell ref="P576:Q576"/>
    <mergeCell ref="R576:S576"/>
    <mergeCell ref="T576:U576"/>
    <mergeCell ref="V576:W576"/>
    <mergeCell ref="X576:Y576"/>
    <mergeCell ref="Z576:AA576"/>
    <mergeCell ref="D576:E576"/>
    <mergeCell ref="F576:G576"/>
    <mergeCell ref="H576:I576"/>
    <mergeCell ref="J576:K576"/>
    <mergeCell ref="L576:M576"/>
    <mergeCell ref="N576:O576"/>
    <mergeCell ref="Z599:AA599"/>
    <mergeCell ref="AB599:AC599"/>
    <mergeCell ref="AD599:AE599"/>
    <mergeCell ref="AF599:AG599"/>
    <mergeCell ref="AH599:AI599"/>
    <mergeCell ref="V599:W599"/>
    <mergeCell ref="X599:Y599"/>
    <mergeCell ref="Z610:AA610"/>
    <mergeCell ref="AB610:AC610"/>
    <mergeCell ref="AD610:AE610"/>
    <mergeCell ref="AF610:AG610"/>
    <mergeCell ref="AH610:AI610"/>
    <mergeCell ref="V610:W610"/>
    <mergeCell ref="X610:Y610"/>
    <mergeCell ref="D610:E610"/>
    <mergeCell ref="F610:G610"/>
    <mergeCell ref="H610:I610"/>
    <mergeCell ref="J610:K610"/>
    <mergeCell ref="L610:M610"/>
    <mergeCell ref="N599:O599"/>
    <mergeCell ref="P599:Q599"/>
    <mergeCell ref="R599:S599"/>
    <mergeCell ref="T599:U599"/>
    <mergeCell ref="N610:O610"/>
    <mergeCell ref="P610:Q610"/>
    <mergeCell ref="R610:S610"/>
    <mergeCell ref="T610:U610"/>
    <mergeCell ref="AH662:AI662"/>
    <mergeCell ref="Z662:AA662"/>
    <mergeCell ref="AB662:AC662"/>
    <mergeCell ref="AD662:AE662"/>
    <mergeCell ref="AH643:AI643"/>
    <mergeCell ref="V643:W643"/>
    <mergeCell ref="D643:E643"/>
    <mergeCell ref="F643:G643"/>
    <mergeCell ref="H643:I643"/>
    <mergeCell ref="D662:E662"/>
    <mergeCell ref="F662:G662"/>
    <mergeCell ref="H662:I662"/>
    <mergeCell ref="J662:K662"/>
    <mergeCell ref="L662:M662"/>
    <mergeCell ref="N643:O643"/>
    <mergeCell ref="P643:Q643"/>
    <mergeCell ref="R643:S643"/>
    <mergeCell ref="T643:U643"/>
    <mergeCell ref="J643:K643"/>
    <mergeCell ref="L643:M643"/>
    <mergeCell ref="Z643:AA643"/>
    <mergeCell ref="AB643:AC643"/>
    <mergeCell ref="AD643:AE643"/>
    <mergeCell ref="AF643:AG643"/>
    <mergeCell ref="B673:C673"/>
    <mergeCell ref="N662:O662"/>
    <mergeCell ref="P662:Q662"/>
    <mergeCell ref="R662:S662"/>
    <mergeCell ref="T662:U662"/>
    <mergeCell ref="V662:W662"/>
    <mergeCell ref="X662:Y662"/>
    <mergeCell ref="X643:Y643"/>
    <mergeCell ref="AF662:AG662"/>
    <mergeCell ref="B688:G688"/>
    <mergeCell ref="D692:E692"/>
    <mergeCell ref="F692:G692"/>
    <mergeCell ref="H692:I692"/>
    <mergeCell ref="J692:K692"/>
    <mergeCell ref="L692:M692"/>
    <mergeCell ref="AF692:AG692"/>
    <mergeCell ref="AH692:AI692"/>
    <mergeCell ref="B695:C695"/>
    <mergeCell ref="N692:O692"/>
    <mergeCell ref="P692:Q692"/>
    <mergeCell ref="R692:S692"/>
    <mergeCell ref="T692:U692"/>
    <mergeCell ref="V692:W692"/>
    <mergeCell ref="X692:Y692"/>
    <mergeCell ref="B703:G703"/>
    <mergeCell ref="D707:E707"/>
    <mergeCell ref="F707:G707"/>
    <mergeCell ref="H707:I707"/>
    <mergeCell ref="J707:K707"/>
    <mergeCell ref="L707:M707"/>
    <mergeCell ref="Z692:AA692"/>
    <mergeCell ref="AB692:AC692"/>
    <mergeCell ref="AD692:AE692"/>
    <mergeCell ref="AF707:AG707"/>
    <mergeCell ref="AH707:AI707"/>
    <mergeCell ref="B761:G761"/>
    <mergeCell ref="N707:O707"/>
    <mergeCell ref="P707:Q707"/>
    <mergeCell ref="R707:S707"/>
    <mergeCell ref="T707:U707"/>
    <mergeCell ref="V707:W707"/>
    <mergeCell ref="X707:Y707"/>
    <mergeCell ref="B763:G763"/>
    <mergeCell ref="D769:E769"/>
    <mergeCell ref="F769:G769"/>
    <mergeCell ref="H769:I769"/>
    <mergeCell ref="J769:K769"/>
    <mergeCell ref="L769:M769"/>
    <mergeCell ref="Z707:AA707"/>
    <mergeCell ref="AB707:AC707"/>
    <mergeCell ref="AD707:AE707"/>
    <mergeCell ref="Z769:AA769"/>
    <mergeCell ref="AB769:AC769"/>
    <mergeCell ref="AD769:AE769"/>
    <mergeCell ref="AF769:AG769"/>
    <mergeCell ref="AH769:AI769"/>
    <mergeCell ref="B774:D774"/>
    <mergeCell ref="N769:O769"/>
    <mergeCell ref="P769:Q769"/>
    <mergeCell ref="R769:S769"/>
    <mergeCell ref="T769:U769"/>
    <mergeCell ref="V769:W769"/>
    <mergeCell ref="X769:Y769"/>
    <mergeCell ref="AB776:AC776"/>
    <mergeCell ref="AD776:AE776"/>
    <mergeCell ref="AF776:AG776"/>
    <mergeCell ref="AH776:AI776"/>
    <mergeCell ref="D783:E783"/>
    <mergeCell ref="F783:G783"/>
    <mergeCell ref="H783:I783"/>
    <mergeCell ref="J783:K783"/>
    <mergeCell ref="L783:M783"/>
    <mergeCell ref="N783:O783"/>
    <mergeCell ref="P776:Q776"/>
    <mergeCell ref="R776:S776"/>
    <mergeCell ref="T776:U776"/>
    <mergeCell ref="V776:W776"/>
    <mergeCell ref="X776:Y776"/>
    <mergeCell ref="Z776:AA776"/>
    <mergeCell ref="D776:E776"/>
    <mergeCell ref="F776:G776"/>
    <mergeCell ref="H776:I776"/>
    <mergeCell ref="J776:K776"/>
    <mergeCell ref="L776:M776"/>
    <mergeCell ref="N776:O776"/>
    <mergeCell ref="AB783:AC783"/>
    <mergeCell ref="AD783:AE783"/>
    <mergeCell ref="AF783:AG783"/>
    <mergeCell ref="AH783:AI783"/>
    <mergeCell ref="D794:E794"/>
    <mergeCell ref="F794:G794"/>
    <mergeCell ref="H794:I794"/>
    <mergeCell ref="J794:K794"/>
    <mergeCell ref="L794:M794"/>
    <mergeCell ref="N794:O794"/>
    <mergeCell ref="P783:Q783"/>
    <mergeCell ref="R783:S783"/>
    <mergeCell ref="T783:U783"/>
    <mergeCell ref="V783:W783"/>
    <mergeCell ref="X783:Y783"/>
    <mergeCell ref="Z783:AA783"/>
    <mergeCell ref="AB794:AC794"/>
    <mergeCell ref="AD794:AE794"/>
    <mergeCell ref="AF794:AG794"/>
    <mergeCell ref="AH794:AI794"/>
    <mergeCell ref="B811:G811"/>
    <mergeCell ref="B813:G813"/>
    <mergeCell ref="P794:Q794"/>
    <mergeCell ref="R794:S794"/>
    <mergeCell ref="T794:U794"/>
    <mergeCell ref="V794:W794"/>
    <mergeCell ref="X794:Y794"/>
    <mergeCell ref="Z794:AA794"/>
    <mergeCell ref="AF819:AG819"/>
    <mergeCell ref="AH819:AI819"/>
    <mergeCell ref="B820:C820"/>
    <mergeCell ref="B821:C821"/>
    <mergeCell ref="P819:Q819"/>
    <mergeCell ref="R819:S819"/>
    <mergeCell ref="T819:U819"/>
    <mergeCell ref="V819:W819"/>
    <mergeCell ref="X819:Y819"/>
    <mergeCell ref="Z819:AA819"/>
    <mergeCell ref="D819:E819"/>
    <mergeCell ref="F819:G819"/>
    <mergeCell ref="H819:I819"/>
    <mergeCell ref="J819:K819"/>
    <mergeCell ref="L819:M819"/>
    <mergeCell ref="N819:O819"/>
    <mergeCell ref="B824:C824"/>
    <mergeCell ref="B831:G834"/>
    <mergeCell ref="B837:G837"/>
    <mergeCell ref="B839:G839"/>
    <mergeCell ref="B841:G841"/>
    <mergeCell ref="D846:E846"/>
    <mergeCell ref="F846:G846"/>
    <mergeCell ref="AB819:AC819"/>
    <mergeCell ref="AD819:AE819"/>
    <mergeCell ref="AF846:AG846"/>
    <mergeCell ref="AH846:AI846"/>
    <mergeCell ref="D857:E857"/>
    <mergeCell ref="F857:G857"/>
    <mergeCell ref="H857:I857"/>
    <mergeCell ref="J857:K857"/>
    <mergeCell ref="L857:M857"/>
    <mergeCell ref="N857:O857"/>
    <mergeCell ref="P857:Q857"/>
    <mergeCell ref="R857:S857"/>
    <mergeCell ref="T846:U846"/>
    <mergeCell ref="V846:W846"/>
    <mergeCell ref="X846:Y846"/>
    <mergeCell ref="Z846:AA846"/>
    <mergeCell ref="AB846:AC846"/>
    <mergeCell ref="AD846:AE846"/>
    <mergeCell ref="H846:I846"/>
    <mergeCell ref="J846:K846"/>
    <mergeCell ref="L846:M846"/>
    <mergeCell ref="N846:O846"/>
    <mergeCell ref="P846:Q846"/>
    <mergeCell ref="R846:S846"/>
    <mergeCell ref="AF857:AG857"/>
    <mergeCell ref="AH857:AI857"/>
    <mergeCell ref="D877:E877"/>
    <mergeCell ref="F877:G877"/>
    <mergeCell ref="H877:I877"/>
    <mergeCell ref="J877:K877"/>
    <mergeCell ref="L877:M877"/>
    <mergeCell ref="N877:O877"/>
    <mergeCell ref="P877:Q877"/>
    <mergeCell ref="R877:S877"/>
    <mergeCell ref="T857:U857"/>
    <mergeCell ref="V857:W857"/>
    <mergeCell ref="X857:Y857"/>
    <mergeCell ref="Z857:AA857"/>
    <mergeCell ref="AB857:AC857"/>
    <mergeCell ref="AD857:AE857"/>
    <mergeCell ref="AF877:AG877"/>
    <mergeCell ref="AH877:AI877"/>
    <mergeCell ref="B887:G887"/>
    <mergeCell ref="D889:E889"/>
    <mergeCell ref="F889:G889"/>
    <mergeCell ref="H889:I889"/>
    <mergeCell ref="J889:K889"/>
    <mergeCell ref="L889:M889"/>
    <mergeCell ref="N889:O889"/>
    <mergeCell ref="P889:Q889"/>
    <mergeCell ref="T877:U877"/>
    <mergeCell ref="V877:W877"/>
    <mergeCell ref="X877:Y877"/>
    <mergeCell ref="Z877:AA877"/>
    <mergeCell ref="AB877:AC877"/>
    <mergeCell ref="AD877:AE877"/>
    <mergeCell ref="AD889:AE889"/>
    <mergeCell ref="AF889:AG889"/>
    <mergeCell ref="AH889:AI889"/>
    <mergeCell ref="D902:E902"/>
    <mergeCell ref="F902:G902"/>
    <mergeCell ref="H902:I902"/>
    <mergeCell ref="J902:K902"/>
    <mergeCell ref="L902:M902"/>
    <mergeCell ref="N902:O902"/>
    <mergeCell ref="P902:Q902"/>
    <mergeCell ref="R889:S889"/>
    <mergeCell ref="T889:U889"/>
    <mergeCell ref="V889:W889"/>
    <mergeCell ref="X889:Y889"/>
    <mergeCell ref="Z889:AA889"/>
    <mergeCell ref="AB889:AC889"/>
    <mergeCell ref="AD902:AE902"/>
    <mergeCell ref="AF902:AG902"/>
    <mergeCell ref="AH902:AI902"/>
    <mergeCell ref="D912:E912"/>
    <mergeCell ref="F912:G912"/>
    <mergeCell ref="H912:I912"/>
    <mergeCell ref="J912:K912"/>
    <mergeCell ref="L912:M912"/>
    <mergeCell ref="N912:O912"/>
    <mergeCell ref="P912:Q912"/>
    <mergeCell ref="R902:S902"/>
    <mergeCell ref="T902:U902"/>
    <mergeCell ref="V902:W902"/>
    <mergeCell ref="X902:Y902"/>
    <mergeCell ref="Z902:AA902"/>
    <mergeCell ref="AB902:AC902"/>
    <mergeCell ref="AD912:AE912"/>
    <mergeCell ref="AF912:AG912"/>
    <mergeCell ref="AH912:AI912"/>
    <mergeCell ref="V912:W912"/>
    <mergeCell ref="B958:G958"/>
    <mergeCell ref="D960:E960"/>
    <mergeCell ref="F960:G960"/>
    <mergeCell ref="H960:I960"/>
    <mergeCell ref="J960:K960"/>
    <mergeCell ref="L960:M960"/>
    <mergeCell ref="N960:O960"/>
    <mergeCell ref="R912:S912"/>
    <mergeCell ref="T912:U912"/>
    <mergeCell ref="X912:Y912"/>
    <mergeCell ref="Z912:AA912"/>
    <mergeCell ref="AB912:AC912"/>
    <mergeCell ref="AB960:AC960"/>
    <mergeCell ref="AD960:AE960"/>
    <mergeCell ref="AF960:AG960"/>
    <mergeCell ref="AH960:AI960"/>
    <mergeCell ref="P960:Q960"/>
    <mergeCell ref="R960:S960"/>
    <mergeCell ref="T960:U960"/>
    <mergeCell ref="V960:W960"/>
    <mergeCell ref="X960:Y960"/>
    <mergeCell ref="Z960:AA960"/>
  </mergeCells>
  <printOptions gridLines="1"/>
  <pageMargins left="7.6771653999999995E-2" right="0.183070866" top="3.9370078740157501E-2" bottom="3.9370078740157501E-2" header="0.511811023622047" footer="0.511811023622047"/>
  <pageSetup paperSize="9" scale="70" orientation="landscape" r:id="rId1"/>
  <headerFooter alignWithMargins="0"/>
  <rowBreaks count="13" manualBreakCount="13">
    <brk id="115" max="16383" man="1"/>
    <brk id="187" max="16383" man="1"/>
    <brk id="240" max="16383" man="1"/>
    <brk id="264" max="16383" man="1"/>
    <brk id="307" max="16383" man="1"/>
    <brk id="369" max="16383" man="1"/>
    <brk id="519" max="34" man="1"/>
    <brk id="594" max="16383" man="1"/>
    <brk id="659" max="16383" man="1"/>
    <brk id="703" max="16383" man="1"/>
    <brk id="763" max="16383" man="1"/>
    <brk id="830" max="16383" man="1"/>
    <brk id="95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4"/>
  <sheetViews>
    <sheetView topLeftCell="A12" workbookViewId="0">
      <selection activeCell="D36" sqref="D36"/>
    </sheetView>
  </sheetViews>
  <sheetFormatPr defaultRowHeight="12.75"/>
  <cols>
    <col min="1" max="1" width="2.140625" customWidth="1"/>
    <col min="2" max="2" width="39.85546875" customWidth="1"/>
    <col min="4" max="4" width="15.85546875" customWidth="1"/>
    <col min="5" max="5" width="18.140625" bestFit="1" customWidth="1"/>
    <col min="6" max="6" width="16.42578125" style="254" customWidth="1"/>
    <col min="7" max="7" width="16" style="254" bestFit="1" customWidth="1"/>
    <col min="9" max="9" width="12.5703125" customWidth="1"/>
  </cols>
  <sheetData>
    <row r="1" spans="2:7" ht="13.5" thickBot="1">
      <c r="B1" s="1527" t="s">
        <v>381</v>
      </c>
      <c r="C1" s="1528"/>
      <c r="D1" s="1528"/>
      <c r="E1" s="1528"/>
      <c r="F1" s="1528"/>
      <c r="G1" s="1529"/>
    </row>
    <row r="2" spans="2:7" ht="12.75" customHeight="1" thickBot="1">
      <c r="B2" s="1501" t="s">
        <v>1227</v>
      </c>
      <c r="C2" s="1518"/>
      <c r="D2" s="1518"/>
      <c r="E2" s="1518"/>
      <c r="F2" s="1518"/>
      <c r="G2" s="1502"/>
    </row>
    <row r="3" spans="2:7" hidden="1">
      <c r="B3" s="1523"/>
      <c r="C3" s="1525"/>
      <c r="D3" s="1512"/>
      <c r="E3" s="1512"/>
      <c r="F3" s="1519" t="s">
        <v>539</v>
      </c>
      <c r="G3" s="1530"/>
    </row>
    <row r="4" spans="2:7" ht="13.5" thickBot="1">
      <c r="B4" s="1533"/>
      <c r="C4" s="1531"/>
      <c r="D4" s="1531"/>
      <c r="E4" s="1531"/>
      <c r="F4" s="1531"/>
      <c r="G4" s="1532"/>
    </row>
    <row r="5" spans="2:7">
      <c r="B5" s="293"/>
      <c r="C5" s="294" t="s">
        <v>746</v>
      </c>
      <c r="D5" s="1514" t="s">
        <v>1228</v>
      </c>
      <c r="E5" s="1515"/>
      <c r="F5" s="1516" t="s">
        <v>1211</v>
      </c>
      <c r="G5" s="1517"/>
    </row>
    <row r="6" spans="2:7" ht="13.5" thickBot="1">
      <c r="B6" s="18"/>
      <c r="C6" s="289"/>
      <c r="D6" s="290"/>
      <c r="E6" s="7"/>
      <c r="F6" s="291"/>
      <c r="G6" s="292"/>
    </row>
    <row r="7" spans="2:7">
      <c r="B7" s="295" t="s">
        <v>632</v>
      </c>
      <c r="C7" s="15"/>
      <c r="D7" s="21"/>
      <c r="E7" s="3"/>
      <c r="F7" s="296"/>
      <c r="G7" s="297"/>
    </row>
    <row r="8" spans="2:7">
      <c r="B8" s="10" t="s">
        <v>633</v>
      </c>
      <c r="C8" s="5">
        <v>3</v>
      </c>
      <c r="D8" s="21"/>
      <c r="E8" s="3"/>
      <c r="F8" s="296"/>
      <c r="G8" s="297"/>
    </row>
    <row r="9" spans="2:7">
      <c r="B9" s="17" t="s">
        <v>634</v>
      </c>
      <c r="C9" s="5">
        <v>3.1</v>
      </c>
      <c r="D9" s="296">
        <f>'B_S &amp; Notes (O)'!E16</f>
        <v>1000000000</v>
      </c>
      <c r="E9" s="297"/>
      <c r="F9" s="269">
        <f>'B_S &amp; Notes (O)'!G16</f>
        <v>1000000000</v>
      </c>
      <c r="G9" s="263"/>
    </row>
    <row r="10" spans="2:7">
      <c r="B10" s="17" t="s">
        <v>546</v>
      </c>
      <c r="C10" s="5">
        <v>3.2</v>
      </c>
      <c r="D10" s="296">
        <f>'B_S &amp; Notes (O)'!E89</f>
        <v>173906481</v>
      </c>
      <c r="E10" s="297"/>
      <c r="F10" s="269">
        <f>'B_S &amp; Notes (O)'!G89</f>
        <v>0</v>
      </c>
      <c r="G10" s="263"/>
    </row>
    <row r="11" spans="2:7" ht="13.5" thickBot="1">
      <c r="B11" s="17"/>
      <c r="C11" s="5"/>
      <c r="D11" s="255"/>
      <c r="E11" s="297">
        <f>+SUM(D9:D11)</f>
        <v>1173906481</v>
      </c>
      <c r="F11" s="264"/>
      <c r="G11" s="263">
        <f>+SUM(F9:F11)</f>
        <v>1000000000</v>
      </c>
    </row>
    <row r="12" spans="2:7">
      <c r="B12" s="17"/>
      <c r="C12" s="5"/>
      <c r="D12" s="296"/>
      <c r="E12" s="297"/>
      <c r="F12" s="269"/>
      <c r="G12" s="263"/>
    </row>
    <row r="13" spans="2:7" ht="25.5" hidden="1" customHeight="1">
      <c r="B13" s="28" t="s">
        <v>637</v>
      </c>
      <c r="C13" s="5"/>
      <c r="D13" s="296"/>
      <c r="E13" s="297"/>
      <c r="F13" s="269"/>
      <c r="G13" s="263"/>
    </row>
    <row r="14" spans="2:7" hidden="1">
      <c r="B14" s="17"/>
      <c r="C14" s="5"/>
      <c r="D14" s="296"/>
      <c r="E14" s="297"/>
      <c r="F14" s="269"/>
      <c r="G14" s="263"/>
    </row>
    <row r="15" spans="2:7">
      <c r="B15" s="10" t="s">
        <v>638</v>
      </c>
      <c r="C15" s="5">
        <v>4</v>
      </c>
      <c r="D15" s="296"/>
      <c r="E15" s="297"/>
      <c r="F15" s="269"/>
      <c r="G15" s="263"/>
    </row>
    <row r="16" spans="2:7" hidden="1">
      <c r="B16" s="17" t="s">
        <v>545</v>
      </c>
      <c r="C16" s="5">
        <v>4.0999999999999996</v>
      </c>
      <c r="D16" s="296">
        <f>'B_S &amp; Notes (O)'!E124</f>
        <v>0</v>
      </c>
      <c r="E16" s="297"/>
      <c r="F16" s="269">
        <f>'B_S &amp; Notes (O)'!G124</f>
        <v>0</v>
      </c>
      <c r="G16" s="263"/>
    </row>
    <row r="17" spans="2:7" hidden="1">
      <c r="B17" s="17" t="s">
        <v>640</v>
      </c>
      <c r="C17" s="5"/>
      <c r="D17" s="296"/>
      <c r="E17" s="297"/>
      <c r="F17" s="269"/>
      <c r="G17" s="263"/>
    </row>
    <row r="18" spans="2:7">
      <c r="B18" s="17" t="s">
        <v>641</v>
      </c>
      <c r="C18" s="5">
        <v>4.0999999999999996</v>
      </c>
      <c r="D18" s="296">
        <f>'B_S &amp; Notes (O)'!E143</f>
        <v>264636859</v>
      </c>
      <c r="E18" s="297"/>
      <c r="F18" s="269">
        <f>'B_S &amp; Notes (O)'!G143</f>
        <v>0</v>
      </c>
      <c r="G18" s="263"/>
    </row>
    <row r="19" spans="2:7" ht="13.5" thickBot="1">
      <c r="B19" s="17" t="s">
        <v>642</v>
      </c>
      <c r="C19" s="5">
        <v>4.2</v>
      </c>
      <c r="D19" s="255">
        <f>'B_S &amp; Notes (O)'!E163</f>
        <v>1771236074</v>
      </c>
      <c r="E19" s="297">
        <f>+SUM(D16:D19)</f>
        <v>2035872933</v>
      </c>
      <c r="F19" s="264">
        <f>'B_S &amp; Notes (O)'!G163</f>
        <v>0</v>
      </c>
      <c r="G19" s="263">
        <f>+SUM(F16:F19)</f>
        <v>0</v>
      </c>
    </row>
    <row r="20" spans="2:7">
      <c r="B20" s="17"/>
      <c r="C20" s="5"/>
      <c r="D20" s="296"/>
      <c r="E20" s="297"/>
      <c r="F20" s="269"/>
      <c r="G20" s="263"/>
    </row>
    <row r="21" spans="2:7">
      <c r="B21" s="10" t="s">
        <v>643</v>
      </c>
      <c r="C21" s="5">
        <v>5</v>
      </c>
      <c r="D21" s="296"/>
      <c r="E21" s="297"/>
      <c r="F21" s="269"/>
      <c r="G21" s="263"/>
    </row>
    <row r="22" spans="2:7">
      <c r="B22" s="17" t="s">
        <v>657</v>
      </c>
      <c r="C22" s="5">
        <v>5.0999999999999996</v>
      </c>
      <c r="D22" s="296">
        <f>'B_S &amp; Notes (O)'!E178</f>
        <v>2866488481</v>
      </c>
      <c r="E22" s="297"/>
      <c r="F22" s="269">
        <f>'B_S &amp; Notes (O)'!G178</f>
        <v>0</v>
      </c>
      <c r="G22" s="263"/>
    </row>
    <row r="23" spans="2:7">
      <c r="B23" s="17" t="s">
        <v>658</v>
      </c>
      <c r="C23" s="5">
        <v>5.2</v>
      </c>
      <c r="D23" s="296">
        <f>'B_S &amp; Notes (O)'!E192</f>
        <v>31643840201</v>
      </c>
      <c r="E23" s="297"/>
      <c r="F23" s="269">
        <f>'B_S &amp; Notes (O)'!G192</f>
        <v>0</v>
      </c>
      <c r="G23" s="263"/>
    </row>
    <row r="24" spans="2:7">
      <c r="B24" s="17" t="s">
        <v>659</v>
      </c>
      <c r="C24" s="5">
        <v>5.3</v>
      </c>
      <c r="D24" s="296">
        <f>'B_S &amp; Notes (O)'!E222</f>
        <v>8376002629</v>
      </c>
      <c r="E24" s="297"/>
      <c r="F24" s="269">
        <f>'B_S &amp; Notes (O)'!G222</f>
        <v>0</v>
      </c>
      <c r="G24" s="263"/>
    </row>
    <row r="25" spans="2:7" ht="13.5" thickBot="1">
      <c r="B25" s="17" t="s">
        <v>660</v>
      </c>
      <c r="C25" s="5">
        <v>5.4</v>
      </c>
      <c r="D25" s="255">
        <f>'B_S &amp; Notes (O)'!E250</f>
        <v>994851142</v>
      </c>
      <c r="E25" s="297">
        <f>+SUM(D22:D25)</f>
        <v>43881182453</v>
      </c>
      <c r="F25" s="264">
        <f>'B_S &amp; Notes (O)'!G250</f>
        <v>0</v>
      </c>
      <c r="G25" s="263">
        <f>+SUM(F22:F25)</f>
        <v>0</v>
      </c>
    </row>
    <row r="26" spans="2:7" ht="13.5" thickBot="1">
      <c r="B26" s="17"/>
      <c r="C26" s="5"/>
      <c r="D26" s="296"/>
      <c r="E26" s="297"/>
      <c r="F26" s="296"/>
      <c r="G26" s="297"/>
    </row>
    <row r="27" spans="2:7" ht="13.5" thickBot="1">
      <c r="B27" s="643" t="s">
        <v>684</v>
      </c>
      <c r="C27" s="6"/>
      <c r="D27" s="256"/>
      <c r="E27" s="299">
        <f>+SUM(E8:E26)</f>
        <v>47090961867</v>
      </c>
      <c r="F27" s="256"/>
      <c r="G27" s="299">
        <f>+SUM(G8:G26)</f>
        <v>1000000000</v>
      </c>
    </row>
    <row r="28" spans="2:7">
      <c r="B28" s="300" t="s">
        <v>662</v>
      </c>
      <c r="C28" s="5"/>
      <c r="D28" s="296"/>
      <c r="E28" s="297"/>
      <c r="F28" s="269"/>
      <c r="G28" s="261"/>
    </row>
    <row r="29" spans="2:7">
      <c r="B29" s="10" t="s">
        <v>663</v>
      </c>
      <c r="C29" s="5">
        <v>6</v>
      </c>
      <c r="D29" s="296"/>
      <c r="E29" s="297"/>
      <c r="F29" s="296"/>
      <c r="G29" s="297"/>
    </row>
    <row r="30" spans="2:7">
      <c r="B30" s="17" t="s">
        <v>664</v>
      </c>
      <c r="C30" s="9">
        <v>6.1</v>
      </c>
      <c r="D30" s="257"/>
      <c r="E30" s="296"/>
      <c r="F30" s="257"/>
      <c r="G30" s="297"/>
    </row>
    <row r="31" spans="2:7">
      <c r="B31" s="17" t="s">
        <v>541</v>
      </c>
      <c r="C31" s="5" t="s">
        <v>666</v>
      </c>
      <c r="D31" s="296">
        <f>'BS &amp; Notes 2014-15'!D953</f>
        <v>576766960</v>
      </c>
      <c r="E31" s="296"/>
      <c r="F31" s="262">
        <f>'BS &amp; Notes 2013-14'!D951</f>
        <v>0</v>
      </c>
      <c r="G31" s="263"/>
    </row>
    <row r="32" spans="2:7">
      <c r="B32" s="17" t="s">
        <v>542</v>
      </c>
      <c r="C32" s="5" t="s">
        <v>668</v>
      </c>
      <c r="D32" s="296">
        <f>'BS &amp; Notes 2014-15'!D954</f>
        <v>1468066</v>
      </c>
      <c r="E32" s="296"/>
      <c r="F32" s="262">
        <f>'BS &amp; Notes 2013-14'!D952</f>
        <v>0</v>
      </c>
      <c r="G32" s="263"/>
    </row>
    <row r="33" spans="2:9">
      <c r="B33" s="17" t="s">
        <v>669</v>
      </c>
      <c r="C33" s="5" t="s">
        <v>670</v>
      </c>
      <c r="D33" s="296">
        <f>'BS &amp; Notes 2014-15'!D955</f>
        <v>49045</v>
      </c>
      <c r="E33" s="296"/>
      <c r="F33" s="262">
        <f>'BS &amp; Notes 2013-14'!D953</f>
        <v>0</v>
      </c>
      <c r="G33" s="263"/>
    </row>
    <row r="34" spans="2:9" ht="12.75" customHeight="1">
      <c r="B34" s="17" t="s">
        <v>671</v>
      </c>
      <c r="C34" s="5" t="s">
        <v>672</v>
      </c>
      <c r="D34" s="296"/>
      <c r="E34" s="296"/>
      <c r="F34" s="555"/>
      <c r="G34" s="263"/>
    </row>
    <row r="35" spans="2:9">
      <c r="B35" s="17" t="s">
        <v>540</v>
      </c>
      <c r="C35" s="5">
        <v>6.2</v>
      </c>
      <c r="D35" s="296">
        <f>'B_S &amp; Notes (O)'!E303</f>
        <v>4456573320</v>
      </c>
      <c r="E35" s="296"/>
      <c r="F35" s="262">
        <f>'B_S &amp; Notes (O)'!G303</f>
        <v>0</v>
      </c>
      <c r="G35" s="263"/>
    </row>
    <row r="36" spans="2:9">
      <c r="B36" s="17" t="s">
        <v>674</v>
      </c>
      <c r="C36" s="5">
        <v>6.3</v>
      </c>
      <c r="D36" s="296">
        <f>'B_S &amp; Notes (O)'!F318</f>
        <v>2278970000</v>
      </c>
      <c r="E36" s="297"/>
      <c r="F36" s="269">
        <f>'B_S &amp; Notes (O)'!D318</f>
        <v>2261560000</v>
      </c>
      <c r="G36" s="263"/>
    </row>
    <row r="37" spans="2:9">
      <c r="B37" s="17" t="s">
        <v>675</v>
      </c>
      <c r="C37" s="5">
        <v>6.4</v>
      </c>
      <c r="D37" s="296">
        <f>'B_S &amp; Notes (O)'!E360</f>
        <v>940593623</v>
      </c>
      <c r="E37" s="297"/>
      <c r="F37" s="269">
        <f>'B_S &amp; Notes (O)'!G360</f>
        <v>0</v>
      </c>
      <c r="G37" s="263"/>
    </row>
    <row r="38" spans="2:9" ht="13.5" thickBot="1">
      <c r="B38" s="17" t="s">
        <v>676</v>
      </c>
      <c r="C38" s="5">
        <v>6.5</v>
      </c>
      <c r="D38" s="255">
        <f>'B_S &amp; Notes (O)'!E381</f>
        <v>8325338</v>
      </c>
      <c r="E38" s="297">
        <f>+SUM(D30:D38)</f>
        <v>8262746352</v>
      </c>
      <c r="F38" s="264">
        <f>'B_S &amp; Notes (O)'!G381</f>
        <v>0</v>
      </c>
      <c r="G38" s="263">
        <f>+SUM(F30:F38)</f>
        <v>2261560000</v>
      </c>
    </row>
    <row r="39" spans="2:9">
      <c r="B39" s="17"/>
      <c r="C39" s="5"/>
      <c r="D39" s="296"/>
      <c r="E39" s="297"/>
      <c r="F39" s="269"/>
      <c r="G39" s="263"/>
    </row>
    <row r="40" spans="2:9">
      <c r="B40" s="10" t="s">
        <v>677</v>
      </c>
      <c r="C40" s="5">
        <v>7</v>
      </c>
      <c r="D40" s="296"/>
      <c r="E40" s="297"/>
      <c r="F40" s="269"/>
      <c r="G40" s="263"/>
    </row>
    <row r="41" spans="2:9">
      <c r="B41" s="17" t="s">
        <v>543</v>
      </c>
      <c r="C41" s="5">
        <v>7.1</v>
      </c>
      <c r="D41" s="296">
        <f>'B_S &amp; Notes (O)'!E407</f>
        <v>0</v>
      </c>
      <c r="E41" s="297"/>
      <c r="F41" s="269">
        <f>'B_S &amp; Notes (O)'!G407</f>
        <v>0</v>
      </c>
      <c r="G41" s="263"/>
    </row>
    <row r="42" spans="2:9">
      <c r="B42" s="17" t="s">
        <v>544</v>
      </c>
      <c r="C42" s="5">
        <v>7.2</v>
      </c>
      <c r="D42" s="296">
        <f>'B_S &amp; Notes (O)'!E427</f>
        <v>3194035388</v>
      </c>
      <c r="E42" s="297"/>
      <c r="F42" s="269">
        <f>'B_S &amp; Notes (O)'!G427</f>
        <v>0</v>
      </c>
      <c r="G42" s="263"/>
    </row>
    <row r="43" spans="2:9">
      <c r="B43" s="17" t="s">
        <v>680</v>
      </c>
      <c r="C43" s="5">
        <v>7.3</v>
      </c>
      <c r="D43" s="296">
        <f>'B_S &amp; Notes (O)'!E465</f>
        <v>30350748334</v>
      </c>
      <c r="E43" s="297"/>
      <c r="F43" s="269">
        <f>'B_S &amp; Notes (O)'!G465</f>
        <v>0</v>
      </c>
      <c r="G43" s="263"/>
    </row>
    <row r="44" spans="2:9">
      <c r="B44" s="17" t="s">
        <v>681</v>
      </c>
      <c r="C44" s="5">
        <v>7.4</v>
      </c>
      <c r="D44" s="296">
        <f>'B_S &amp; Notes (O)'!E487</f>
        <v>1637728197</v>
      </c>
      <c r="E44" s="297"/>
      <c r="F44" s="269">
        <f>'B_S &amp; Notes (O)'!G487</f>
        <v>0</v>
      </c>
      <c r="G44" s="263"/>
    </row>
    <row r="45" spans="2:9">
      <c r="B45" s="17" t="s">
        <v>682</v>
      </c>
      <c r="C45" s="5">
        <v>7.5</v>
      </c>
      <c r="D45" s="296">
        <f>'B_S &amp; Notes (O)'!E522</f>
        <v>12878902093</v>
      </c>
      <c r="E45" s="297"/>
      <c r="F45" s="269">
        <f>'B_S &amp; Notes (O)'!G522</f>
        <v>0</v>
      </c>
      <c r="G45" s="263"/>
    </row>
    <row r="46" spans="2:9" ht="13.5" thickBot="1">
      <c r="B46" s="17" t="s">
        <v>683</v>
      </c>
      <c r="C46" s="5">
        <v>7.6</v>
      </c>
      <c r="D46" s="255">
        <f>'B_S &amp; Notes (O)'!E535</f>
        <v>3184811960</v>
      </c>
      <c r="E46" s="297">
        <f>+SUM(D41:D46)</f>
        <v>51246225972</v>
      </c>
      <c r="F46" s="264">
        <f>'B_S &amp; Notes (O)'!G535</f>
        <v>0</v>
      </c>
      <c r="G46" s="263">
        <f>+SUM(F41:F46)</f>
        <v>0</v>
      </c>
    </row>
    <row r="47" spans="2:9" ht="13.5" thickBot="1">
      <c r="B47" s="17"/>
      <c r="C47" s="5"/>
      <c r="D47" s="296"/>
      <c r="E47" s="297"/>
      <c r="F47" s="296"/>
      <c r="G47" s="297"/>
    </row>
    <row r="48" spans="2:9" ht="13.5" thickBot="1">
      <c r="B48" s="643" t="s">
        <v>684</v>
      </c>
      <c r="C48" s="11"/>
      <c r="D48" s="256"/>
      <c r="E48" s="299">
        <f>+SUM(E29:E47)</f>
        <v>59508972324</v>
      </c>
      <c r="F48" s="256"/>
      <c r="G48" s="299">
        <f>+SUM(G29:G47)</f>
        <v>2261560000</v>
      </c>
      <c r="I48" s="254"/>
    </row>
    <row r="49" spans="2:9" ht="13.5" thickBot="1">
      <c r="B49" s="657" t="s">
        <v>390</v>
      </c>
      <c r="C49" s="646">
        <v>2</v>
      </c>
      <c r="D49" s="641"/>
      <c r="E49" s="641"/>
      <c r="F49" s="641"/>
      <c r="G49" s="639"/>
      <c r="I49" s="254"/>
    </row>
    <row r="50" spans="2:9" ht="13.5" thickBot="1">
      <c r="B50" s="1505" t="s">
        <v>391</v>
      </c>
      <c r="C50" s="1506"/>
      <c r="D50" s="1506"/>
      <c r="E50" s="1506"/>
      <c r="F50" s="1506"/>
      <c r="G50" s="1507"/>
    </row>
    <row r="51" spans="2:9" ht="13.5" thickBot="1">
      <c r="B51" s="521"/>
      <c r="C51" s="522"/>
      <c r="D51" s="522"/>
      <c r="E51" s="778">
        <f>E27-E48</f>
        <v>-12418010457</v>
      </c>
      <c r="F51" s="522"/>
      <c r="G51" s="633">
        <f>G27-G48</f>
        <v>-1261560000</v>
      </c>
    </row>
    <row r="52" spans="2:9" ht="13.5" thickBot="1">
      <c r="B52" s="1527" t="s">
        <v>381</v>
      </c>
      <c r="C52" s="1528"/>
      <c r="D52" s="1528"/>
      <c r="E52" s="1528"/>
      <c r="F52" s="1528"/>
      <c r="G52" s="1529"/>
    </row>
    <row r="53" spans="2:9" ht="13.5" thickBot="1">
      <c r="B53" s="1501" t="s">
        <v>1229</v>
      </c>
      <c r="C53" s="1518"/>
      <c r="D53" s="1518"/>
      <c r="E53" s="1518"/>
      <c r="F53" s="1518"/>
      <c r="G53" s="1502"/>
    </row>
    <row r="54" spans="2:9" ht="14.25" customHeight="1" thickBot="1">
      <c r="B54" s="1523"/>
      <c r="C54" s="1525"/>
      <c r="D54" s="1512"/>
      <c r="E54" s="1512"/>
      <c r="F54" s="1519" t="s">
        <v>539</v>
      </c>
      <c r="G54" s="1520"/>
    </row>
    <row r="55" spans="2:9" ht="4.5" hidden="1" customHeight="1" thickBot="1">
      <c r="B55" s="1524"/>
      <c r="C55" s="1526"/>
      <c r="D55" s="1513"/>
      <c r="E55" s="1513"/>
      <c r="F55" s="1521"/>
      <c r="G55" s="1522"/>
    </row>
    <row r="56" spans="2:9" ht="13.5" thickBot="1">
      <c r="B56" s="11"/>
      <c r="C56" s="23" t="s">
        <v>746</v>
      </c>
      <c r="D56" s="1501" t="s">
        <v>1230</v>
      </c>
      <c r="E56" s="1502"/>
      <c r="F56" s="1503" t="s">
        <v>1212</v>
      </c>
      <c r="G56" s="1504"/>
    </row>
    <row r="57" spans="2:9" ht="13.5" thickBot="1">
      <c r="B57" s="18"/>
      <c r="C57" s="4"/>
      <c r="D57" s="16"/>
      <c r="E57" s="13"/>
      <c r="F57" s="258"/>
      <c r="G57" s="259"/>
    </row>
    <row r="58" spans="2:9">
      <c r="B58" s="25" t="s">
        <v>686</v>
      </c>
      <c r="C58" s="26"/>
      <c r="D58" s="24"/>
      <c r="E58" s="27"/>
      <c r="F58" s="260"/>
      <c r="G58" s="261"/>
    </row>
    <row r="59" spans="2:9">
      <c r="B59" s="8" t="s">
        <v>687</v>
      </c>
      <c r="C59" s="15">
        <v>8</v>
      </c>
      <c r="D59" s="257">
        <f>'B_S &amp; Notes (O)'!E553</f>
        <v>182842827085</v>
      </c>
      <c r="E59" s="297"/>
      <c r="F59" s="262">
        <f>'B_S &amp; Notes (O)'!G553</f>
        <v>0</v>
      </c>
      <c r="G59" s="263"/>
    </row>
    <row r="60" spans="2:9" ht="13.5" thickBot="1">
      <c r="B60" s="8" t="s">
        <v>688</v>
      </c>
      <c r="C60" s="15">
        <v>9</v>
      </c>
      <c r="D60" s="255">
        <f>'B_S &amp; Notes (O)'!E575</f>
        <v>1249911908</v>
      </c>
      <c r="E60" s="292">
        <f>+SUM(D59:D60)</f>
        <v>184092738993</v>
      </c>
      <c r="F60" s="264">
        <f>'B_S &amp; Notes (O)'!G575</f>
        <v>0</v>
      </c>
      <c r="G60" s="265">
        <f>+SUM(F59:F60)</f>
        <v>0</v>
      </c>
    </row>
    <row r="61" spans="2:9">
      <c r="B61" s="22" t="s">
        <v>690</v>
      </c>
      <c r="C61" s="15"/>
      <c r="D61" s="257"/>
      <c r="E61" s="297">
        <f>+E60</f>
        <v>184092738993</v>
      </c>
      <c r="F61" s="262"/>
      <c r="G61" s="263">
        <f>+G60</f>
        <v>0</v>
      </c>
    </row>
    <row r="62" spans="2:9">
      <c r="B62" s="8"/>
      <c r="C62" s="15"/>
      <c r="D62" s="257"/>
      <c r="E62" s="297"/>
      <c r="F62" s="262"/>
      <c r="G62" s="263"/>
    </row>
    <row r="63" spans="2:9">
      <c r="B63" s="22" t="s">
        <v>691</v>
      </c>
      <c r="C63" s="15"/>
      <c r="D63" s="257"/>
      <c r="E63" s="297"/>
      <c r="F63" s="262"/>
      <c r="G63" s="263"/>
    </row>
    <row r="64" spans="2:9">
      <c r="B64" s="8" t="s">
        <v>692</v>
      </c>
      <c r="C64" s="15">
        <v>10</v>
      </c>
      <c r="D64" s="760">
        <f>'B_S &amp; Notes (O)'!E588</f>
        <v>1222048456</v>
      </c>
      <c r="E64" s="297"/>
      <c r="F64" s="262">
        <f>'B_S &amp; Notes (O)'!G588</f>
        <v>0</v>
      </c>
      <c r="G64" s="263"/>
    </row>
    <row r="65" spans="2:7">
      <c r="B65" s="8" t="s">
        <v>694</v>
      </c>
      <c r="C65" s="15">
        <v>11</v>
      </c>
      <c r="D65" s="257">
        <f>'B_S &amp; Notes (O)'!E621</f>
        <v>169760553149</v>
      </c>
      <c r="E65" s="297"/>
      <c r="F65" s="262">
        <f>'B_S &amp; Notes (O)'!G621</f>
        <v>0</v>
      </c>
      <c r="G65" s="263"/>
    </row>
    <row r="66" spans="2:7" ht="25.5" customHeight="1">
      <c r="B66" s="142" t="s">
        <v>696</v>
      </c>
      <c r="C66" s="5">
        <v>12</v>
      </c>
      <c r="D66" s="524">
        <f>'B_S &amp; Notes (O)'!E639</f>
        <v>-284219421</v>
      </c>
      <c r="E66" s="526"/>
      <c r="F66" s="266">
        <f>'B_S &amp; Notes (O)'!G639</f>
        <v>0</v>
      </c>
      <c r="G66" s="267"/>
    </row>
    <row r="67" spans="2:7">
      <c r="B67" s="8" t="s">
        <v>702</v>
      </c>
      <c r="C67" s="15">
        <v>13</v>
      </c>
      <c r="D67" s="257">
        <f>'B_S &amp; Notes (O)'!E665</f>
        <v>1918255630</v>
      </c>
      <c r="E67" s="297"/>
      <c r="F67" s="262">
        <f>'B_S &amp; Notes (O)'!G665</f>
        <v>0</v>
      </c>
      <c r="G67" s="263"/>
    </row>
    <row r="68" spans="2:7">
      <c r="B68" s="8" t="s">
        <v>703</v>
      </c>
      <c r="C68" s="15">
        <v>14</v>
      </c>
      <c r="D68" s="257">
        <f>'B_S &amp; Notes (O)'!E679</f>
        <v>170214269</v>
      </c>
      <c r="E68" s="297"/>
      <c r="F68" s="262">
        <f>'B_S &amp; Notes (O)'!G679</f>
        <v>0</v>
      </c>
      <c r="G68" s="263"/>
    </row>
    <row r="69" spans="2:7">
      <c r="B69" s="8" t="s">
        <v>705</v>
      </c>
      <c r="C69" s="15"/>
      <c r="D69" s="257">
        <f>'BS &amp; Notes 2014-15'!D988</f>
        <v>178168777</v>
      </c>
      <c r="E69" s="297"/>
      <c r="F69" s="262">
        <f>'BS &amp; Notes 2013-14'!D986</f>
        <v>0</v>
      </c>
      <c r="G69" s="263"/>
    </row>
    <row r="70" spans="2:7" ht="13.5" thickBot="1">
      <c r="B70" s="8" t="s">
        <v>706</v>
      </c>
      <c r="C70" s="15">
        <v>15</v>
      </c>
      <c r="D70" s="255">
        <f>'B_S &amp; Notes (O)'!E739</f>
        <v>10759609297</v>
      </c>
      <c r="E70" s="292">
        <f>+SUM(D64:D70)</f>
        <v>183724630157</v>
      </c>
      <c r="F70" s="264">
        <f>'B_S &amp; Notes (O)'!G739-2</f>
        <v>-2</v>
      </c>
      <c r="G70" s="265">
        <f>+SUM(F64:F70)</f>
        <v>-2</v>
      </c>
    </row>
    <row r="71" spans="2:7">
      <c r="B71" s="22" t="s">
        <v>708</v>
      </c>
      <c r="C71" s="15"/>
      <c r="D71" s="257"/>
      <c r="E71" s="297">
        <f>+E70</f>
        <v>183724630157</v>
      </c>
      <c r="F71" s="262"/>
      <c r="G71" s="263">
        <f>+G70</f>
        <v>-2</v>
      </c>
    </row>
    <row r="72" spans="2:7" ht="13.5" thickBot="1">
      <c r="B72" s="8"/>
      <c r="C72" s="15"/>
      <c r="D72" s="257"/>
      <c r="E72" s="292"/>
      <c r="F72" s="262"/>
      <c r="G72" s="265"/>
    </row>
    <row r="73" spans="2:7" ht="22.5" customHeight="1">
      <c r="B73" s="14" t="s">
        <v>709</v>
      </c>
      <c r="C73" s="15"/>
      <c r="D73" s="257"/>
      <c r="E73" s="268">
        <f>+E61-E71</f>
        <v>368108836</v>
      </c>
      <c r="F73" s="262"/>
      <c r="G73" s="268">
        <f>+G61-G71</f>
        <v>2</v>
      </c>
    </row>
    <row r="74" spans="2:7" ht="13.5" thickBot="1">
      <c r="B74" s="8" t="s">
        <v>710</v>
      </c>
      <c r="C74" s="15">
        <v>16</v>
      </c>
      <c r="D74" s="257"/>
      <c r="E74" s="292">
        <f>'B_S &amp; Notes (O)'!E810</f>
        <v>-230555312.99000001</v>
      </c>
      <c r="F74" s="262"/>
      <c r="G74" s="265">
        <f>'B_S &amp; Notes (O)'!G810</f>
        <v>0</v>
      </c>
    </row>
    <row r="75" spans="2:7">
      <c r="B75" s="22" t="s">
        <v>723</v>
      </c>
      <c r="C75" s="15"/>
      <c r="D75" s="257"/>
      <c r="E75" s="297">
        <f>+E73-E74</f>
        <v>598664148.99000001</v>
      </c>
      <c r="F75" s="262"/>
      <c r="G75" s="297">
        <f>+G73-G74</f>
        <v>2</v>
      </c>
    </row>
    <row r="76" spans="2:7" ht="13.5" thickBot="1">
      <c r="B76" s="8" t="s">
        <v>724</v>
      </c>
      <c r="C76" s="15">
        <v>17</v>
      </c>
      <c r="D76" s="257"/>
      <c r="E76" s="292">
        <f>'BS &amp; Notes 2014-15'!E995</f>
        <v>0</v>
      </c>
      <c r="F76" s="262"/>
      <c r="G76" s="750">
        <f>'BS &amp; Notes 2013-14'!E993</f>
        <v>0</v>
      </c>
    </row>
    <row r="77" spans="2:7">
      <c r="B77" s="22" t="s">
        <v>725</v>
      </c>
      <c r="C77" s="15"/>
      <c r="D77" s="257"/>
      <c r="E77" s="297">
        <f>+E75-E76</f>
        <v>598664148.99000001</v>
      </c>
      <c r="F77" s="262"/>
      <c r="G77" s="297">
        <f>+G75-G76</f>
        <v>2</v>
      </c>
    </row>
    <row r="78" spans="2:7">
      <c r="B78" s="8" t="s">
        <v>726</v>
      </c>
      <c r="C78" s="15"/>
      <c r="D78" s="257"/>
      <c r="E78" s="297"/>
      <c r="F78" s="262"/>
      <c r="G78" s="263"/>
    </row>
    <row r="79" spans="2:7">
      <c r="B79" s="8" t="s">
        <v>474</v>
      </c>
      <c r="C79" s="15"/>
      <c r="D79" s="257"/>
      <c r="E79" s="297"/>
      <c r="F79" s="262"/>
      <c r="G79" s="263"/>
    </row>
    <row r="80" spans="2:7">
      <c r="B80" s="8" t="s">
        <v>382</v>
      </c>
      <c r="C80" s="15"/>
      <c r="D80" s="257">
        <f>'BS &amp; Notes 2014-15'!D1001</f>
        <v>154000000</v>
      </c>
      <c r="E80" s="297"/>
      <c r="F80" s="262">
        <f>'BS &amp; Notes 2013-14'!D999</f>
        <v>0</v>
      </c>
      <c r="G80" s="263"/>
    </row>
    <row r="81" spans="2:9">
      <c r="B81" s="142" t="s">
        <v>383</v>
      </c>
      <c r="C81" s="15"/>
      <c r="D81" s="257">
        <f>'BS &amp; Notes 2014-15'!D1003</f>
        <v>-17008541</v>
      </c>
      <c r="E81" s="297"/>
      <c r="F81" s="262">
        <f>'BS &amp; Notes 2013-14'!D1001</f>
        <v>0</v>
      </c>
      <c r="G81" s="263"/>
    </row>
    <row r="82" spans="2:9" ht="13.5" thickBot="1">
      <c r="B82" s="8" t="s">
        <v>475</v>
      </c>
      <c r="C82" s="15"/>
      <c r="D82" s="255">
        <f>'BS &amp; Notes 2014-15'!D1004</f>
        <v>-17410000</v>
      </c>
      <c r="E82" s="265">
        <f>+SUM(D79:D82)</f>
        <v>119581459</v>
      </c>
      <c r="F82" s="264">
        <f>'BS &amp; Notes 2013-14'!D1002</f>
        <v>0</v>
      </c>
      <c r="G82" s="265">
        <f>+SUM(F79:F82)</f>
        <v>0</v>
      </c>
    </row>
    <row r="83" spans="2:9" ht="23.25" hidden="1" customHeight="1">
      <c r="B83" s="28" t="s">
        <v>729</v>
      </c>
      <c r="C83" s="5"/>
      <c r="D83" s="296"/>
      <c r="E83" s="297">
        <f>+E77-E82</f>
        <v>479082689.99000001</v>
      </c>
      <c r="F83" s="269"/>
      <c r="G83" s="297">
        <f>+G77-G82</f>
        <v>2</v>
      </c>
    </row>
    <row r="84" spans="2:9" hidden="1">
      <c r="B84" s="17" t="s">
        <v>730</v>
      </c>
      <c r="C84" s="5"/>
      <c r="D84" s="296"/>
      <c r="E84" s="528">
        <v>0</v>
      </c>
      <c r="F84" s="529"/>
      <c r="G84" s="530">
        <v>0</v>
      </c>
    </row>
    <row r="85" spans="2:9" ht="13.5" hidden="1" thickBot="1">
      <c r="B85" s="17" t="s">
        <v>731</v>
      </c>
      <c r="C85" s="5"/>
      <c r="D85" s="255"/>
      <c r="E85" s="531">
        <f>+D84-D85</f>
        <v>0</v>
      </c>
      <c r="F85" s="532"/>
      <c r="G85" s="533">
        <f>+F84-F85</f>
        <v>0</v>
      </c>
    </row>
    <row r="86" spans="2:9" ht="23.25" hidden="1" customHeight="1">
      <c r="B86" s="131" t="s">
        <v>741</v>
      </c>
      <c r="C86" s="5"/>
      <c r="D86" s="636"/>
      <c r="E86" s="637">
        <f>E84-E85</f>
        <v>0</v>
      </c>
      <c r="F86" s="638"/>
      <c r="G86" s="626">
        <f>G84-G85</f>
        <v>0</v>
      </c>
    </row>
    <row r="87" spans="2:9">
      <c r="B87" s="10" t="s">
        <v>742</v>
      </c>
      <c r="C87" s="5"/>
      <c r="D87" s="257"/>
      <c r="E87" s="297">
        <f>+E83+E86</f>
        <v>479082689.99000001</v>
      </c>
      <c r="F87" s="269"/>
      <c r="G87" s="297">
        <f>+G83+G86</f>
        <v>2</v>
      </c>
      <c r="I87" s="254"/>
    </row>
    <row r="88" spans="2:9">
      <c r="B88" s="17"/>
      <c r="C88" s="5"/>
      <c r="D88" s="257"/>
      <c r="E88" s="297"/>
      <c r="F88" s="269"/>
      <c r="G88" s="263"/>
      <c r="I88" s="254"/>
    </row>
    <row r="89" spans="2:9" ht="21.75">
      <c r="B89" s="656" t="s">
        <v>384</v>
      </c>
      <c r="C89" s="5"/>
      <c r="D89" s="257"/>
      <c r="E89" s="297"/>
      <c r="F89" s="269"/>
      <c r="G89" s="263"/>
    </row>
    <row r="90" spans="2:9">
      <c r="B90" s="17" t="s">
        <v>385</v>
      </c>
      <c r="C90" s="5"/>
      <c r="D90" s="257"/>
      <c r="E90" s="536">
        <f>+E87/1000000000</f>
        <v>0.47908268999000003</v>
      </c>
      <c r="F90" s="269"/>
      <c r="G90" s="538">
        <f>+G87/1000000000</f>
        <v>2.0000000000000001E-9</v>
      </c>
    </row>
    <row r="91" spans="2:9" ht="13.5" thickBot="1">
      <c r="B91" s="17" t="s">
        <v>386</v>
      </c>
      <c r="C91" s="18"/>
      <c r="D91" s="255"/>
      <c r="E91" s="537">
        <f>+E87/1000000000</f>
        <v>0.47908268999000003</v>
      </c>
      <c r="F91" s="517"/>
      <c r="G91" s="537">
        <f>+G87/1000000000</f>
        <v>2.0000000000000001E-9</v>
      </c>
    </row>
    <row r="92" spans="2:9" ht="13.5" thickBot="1">
      <c r="B92" s="657" t="s">
        <v>390</v>
      </c>
      <c r="C92" s="646">
        <v>2</v>
      </c>
      <c r="D92" s="7"/>
      <c r="E92" s="4"/>
      <c r="F92" s="270"/>
      <c r="G92" s="271"/>
    </row>
    <row r="93" spans="2:9" ht="13.5" thickBot="1">
      <c r="B93" s="1505" t="s">
        <v>391</v>
      </c>
      <c r="C93" s="1506"/>
      <c r="D93" s="1506"/>
      <c r="E93" s="1506"/>
      <c r="F93" s="1506"/>
      <c r="G93" s="1507"/>
    </row>
    <row r="94" spans="2:9" ht="13.5" hidden="1" thickBot="1">
      <c r="B94" s="30" t="s">
        <v>747</v>
      </c>
      <c r="C94" s="31"/>
      <c r="D94" s="30"/>
      <c r="E94" s="32"/>
      <c r="F94" s="249"/>
      <c r="G94" s="272" t="s">
        <v>824</v>
      </c>
    </row>
    <row r="95" spans="2:9" ht="13.5" hidden="1" thickBot="1">
      <c r="B95" s="34"/>
      <c r="C95" s="35"/>
      <c r="D95" s="36" t="s">
        <v>748</v>
      </c>
      <c r="E95" s="37"/>
      <c r="F95" s="273" t="s">
        <v>749</v>
      </c>
      <c r="G95" s="274"/>
    </row>
    <row r="96" spans="2:9" hidden="1">
      <c r="B96" s="34"/>
      <c r="C96" s="38"/>
      <c r="D96" s="34"/>
      <c r="E96" s="39"/>
      <c r="F96" s="275"/>
      <c r="G96" s="243"/>
    </row>
    <row r="97" spans="2:7" hidden="1">
      <c r="B97" s="41" t="s">
        <v>823</v>
      </c>
      <c r="C97" s="42"/>
      <c r="D97" s="41"/>
      <c r="E97" s="39"/>
      <c r="F97" s="275"/>
      <c r="G97" s="243"/>
    </row>
    <row r="98" spans="2:7" hidden="1">
      <c r="B98" s="34"/>
      <c r="C98" s="38"/>
      <c r="D98" s="34"/>
      <c r="E98" s="39"/>
      <c r="F98" s="275"/>
      <c r="G98" s="243"/>
    </row>
    <row r="99" spans="2:7" ht="11.25" hidden="1" customHeight="1">
      <c r="B99" s="43" t="s">
        <v>750</v>
      </c>
      <c r="C99" s="38"/>
      <c r="D99" s="44"/>
      <c r="E99" s="39"/>
      <c r="F99" s="276"/>
      <c r="G99" s="243"/>
    </row>
    <row r="100" spans="2:7" hidden="1">
      <c r="B100" s="45" t="s">
        <v>751</v>
      </c>
      <c r="C100" s="38"/>
      <c r="D100" s="34"/>
      <c r="E100" s="39"/>
      <c r="F100" s="275"/>
      <c r="G100" s="243"/>
    </row>
    <row r="101" spans="2:7" hidden="1">
      <c r="B101" s="34" t="s">
        <v>752</v>
      </c>
      <c r="C101" s="46"/>
      <c r="D101" s="34"/>
      <c r="E101" s="47"/>
      <c r="F101" s="275"/>
      <c r="G101" s="243"/>
    </row>
    <row r="102" spans="2:7" hidden="1">
      <c r="B102" s="34" t="s">
        <v>753</v>
      </c>
      <c r="C102" s="38"/>
      <c r="D102" s="34"/>
      <c r="E102" s="47"/>
      <c r="F102" s="275"/>
      <c r="G102" s="243"/>
    </row>
    <row r="103" spans="2:7" hidden="1">
      <c r="B103" s="34" t="s">
        <v>754</v>
      </c>
      <c r="C103" s="46"/>
      <c r="D103" s="34"/>
      <c r="E103" s="47"/>
      <c r="F103" s="275"/>
      <c r="G103" s="243"/>
    </row>
    <row r="104" spans="2:7" hidden="1">
      <c r="B104" s="34" t="s">
        <v>755</v>
      </c>
      <c r="C104" s="46"/>
      <c r="D104" s="34"/>
      <c r="E104" s="47"/>
      <c r="F104" s="275"/>
      <c r="G104" s="243"/>
    </row>
    <row r="105" spans="2:7" hidden="1">
      <c r="B105" s="34" t="s">
        <v>756</v>
      </c>
      <c r="C105" s="46"/>
      <c r="D105" s="34"/>
      <c r="E105" s="47"/>
      <c r="F105" s="275"/>
      <c r="G105" s="243"/>
    </row>
    <row r="106" spans="2:7" hidden="1">
      <c r="B106" s="34" t="s">
        <v>757</v>
      </c>
      <c r="C106" s="46"/>
      <c r="D106" s="34"/>
      <c r="E106" s="47"/>
      <c r="F106" s="275"/>
      <c r="G106" s="243"/>
    </row>
    <row r="107" spans="2:7" hidden="1">
      <c r="B107" s="34" t="s">
        <v>758</v>
      </c>
      <c r="C107" s="46"/>
      <c r="D107" s="34"/>
      <c r="E107" s="47"/>
      <c r="F107" s="275"/>
      <c r="G107" s="243"/>
    </row>
    <row r="108" spans="2:7" hidden="1">
      <c r="B108" s="34" t="s">
        <v>759</v>
      </c>
      <c r="C108" s="46"/>
      <c r="D108" s="34"/>
      <c r="E108" s="47"/>
      <c r="F108" s="275"/>
      <c r="G108" s="243"/>
    </row>
    <row r="109" spans="2:7" ht="13.5" hidden="1" thickBot="1">
      <c r="B109" s="34" t="s">
        <v>760</v>
      </c>
      <c r="C109" s="38"/>
      <c r="D109" s="48"/>
      <c r="E109" s="49">
        <f>+SUM(D101:D109)</f>
        <v>0</v>
      </c>
      <c r="F109" s="277"/>
      <c r="G109" s="247">
        <f>+SUM(F101:F109)</f>
        <v>0</v>
      </c>
    </row>
    <row r="110" spans="2:7" hidden="1">
      <c r="B110" s="1508" t="s">
        <v>786</v>
      </c>
      <c r="C110" s="1509"/>
      <c r="D110" s="44"/>
      <c r="E110" s="39">
        <f>+E99+E109</f>
        <v>0</v>
      </c>
      <c r="F110" s="276"/>
      <c r="G110" s="243">
        <f>+G109+G99</f>
        <v>0</v>
      </c>
    </row>
    <row r="111" spans="2:7" hidden="1">
      <c r="B111" s="34"/>
      <c r="C111" s="38"/>
      <c r="D111" s="34"/>
      <c r="E111" s="39"/>
      <c r="F111" s="275"/>
      <c r="G111" s="243"/>
    </row>
    <row r="112" spans="2:7" hidden="1">
      <c r="B112" s="45" t="s">
        <v>751</v>
      </c>
      <c r="C112" s="38"/>
      <c r="D112" s="34"/>
      <c r="E112" s="39"/>
      <c r="F112" s="275"/>
      <c r="G112" s="243"/>
    </row>
    <row r="113" spans="2:7" hidden="1">
      <c r="B113" s="34"/>
      <c r="C113" s="46"/>
      <c r="D113" s="34"/>
      <c r="E113" s="47"/>
      <c r="F113" s="275"/>
      <c r="G113" s="243"/>
    </row>
    <row r="114" spans="2:7" hidden="1">
      <c r="B114" s="34" t="s">
        <v>761</v>
      </c>
      <c r="C114" s="46"/>
      <c r="D114" s="34"/>
      <c r="E114" s="47"/>
      <c r="F114" s="275"/>
      <c r="G114" s="243"/>
    </row>
    <row r="115" spans="2:7" hidden="1">
      <c r="B115" s="34" t="s">
        <v>762</v>
      </c>
      <c r="C115" s="46"/>
      <c r="D115" s="34"/>
      <c r="E115" s="47"/>
      <c r="F115" s="275"/>
      <c r="G115" s="243"/>
    </row>
    <row r="116" spans="2:7" hidden="1">
      <c r="B116" s="34" t="s">
        <v>763</v>
      </c>
      <c r="C116" s="46"/>
      <c r="D116" s="34"/>
      <c r="E116" s="47"/>
      <c r="F116" s="275"/>
      <c r="G116" s="243"/>
    </row>
    <row r="117" spans="2:7" hidden="1">
      <c r="B117" s="34" t="s">
        <v>764</v>
      </c>
      <c r="C117" s="46"/>
      <c r="D117" s="34"/>
      <c r="E117" s="47"/>
      <c r="F117" s="275"/>
      <c r="G117" s="243"/>
    </row>
    <row r="118" spans="2:7" hidden="1">
      <c r="B118" s="34" t="s">
        <v>765</v>
      </c>
      <c r="C118" s="46"/>
      <c r="D118" s="34"/>
      <c r="E118" s="47"/>
      <c r="F118" s="275"/>
      <c r="G118" s="243"/>
    </row>
    <row r="119" spans="2:7" hidden="1">
      <c r="B119" s="34" t="s">
        <v>766</v>
      </c>
      <c r="C119" s="46"/>
      <c r="D119" s="34"/>
      <c r="E119" s="47"/>
      <c r="F119" s="275"/>
      <c r="G119" s="243"/>
    </row>
    <row r="120" spans="2:7" hidden="1">
      <c r="B120" s="34" t="s">
        <v>767</v>
      </c>
      <c r="C120" s="38"/>
      <c r="D120" s="51"/>
      <c r="E120" s="39"/>
      <c r="F120" s="278"/>
      <c r="G120" s="243"/>
    </row>
    <row r="121" spans="2:7" hidden="1">
      <c r="B121" s="34" t="s">
        <v>768</v>
      </c>
      <c r="C121" s="38"/>
      <c r="D121" s="34"/>
      <c r="E121" s="39"/>
      <c r="F121" s="275"/>
      <c r="G121" s="243"/>
    </row>
    <row r="122" spans="2:7" ht="13.5" hidden="1" thickBot="1">
      <c r="B122" s="34" t="s">
        <v>769</v>
      </c>
      <c r="C122" s="38"/>
      <c r="D122" s="52"/>
      <c r="E122" s="49">
        <f>+SUM(D113:D122)</f>
        <v>0</v>
      </c>
      <c r="F122" s="279"/>
      <c r="G122" s="247">
        <f>+SUM(F114:F122)</f>
        <v>0</v>
      </c>
    </row>
    <row r="123" spans="2:7" hidden="1">
      <c r="B123" s="1508" t="s">
        <v>787</v>
      </c>
      <c r="C123" s="1509"/>
      <c r="D123" s="44"/>
      <c r="E123" s="39">
        <f>+E110+E122</f>
        <v>0</v>
      </c>
      <c r="F123" s="276"/>
      <c r="G123" s="243">
        <f>+G122+G110</f>
        <v>0</v>
      </c>
    </row>
    <row r="124" spans="2:7" ht="13.5" hidden="1" thickBot="1">
      <c r="B124" s="34" t="s">
        <v>770</v>
      </c>
      <c r="C124" s="38"/>
      <c r="D124" s="51"/>
      <c r="E124" s="49"/>
      <c r="F124" s="278"/>
      <c r="G124" s="247"/>
    </row>
    <row r="125" spans="2:7" hidden="1">
      <c r="B125" s="1508" t="s">
        <v>790</v>
      </c>
      <c r="C125" s="1509"/>
      <c r="D125" s="45"/>
      <c r="E125" s="39">
        <f>+E123-E124</f>
        <v>0</v>
      </c>
      <c r="F125" s="280"/>
      <c r="G125" s="243">
        <f>+G123-G124</f>
        <v>0</v>
      </c>
    </row>
    <row r="126" spans="2:7" hidden="1">
      <c r="B126" s="41"/>
      <c r="C126" s="42"/>
      <c r="D126" s="41"/>
      <c r="E126" s="53"/>
      <c r="F126" s="281"/>
      <c r="G126" s="243"/>
    </row>
    <row r="127" spans="2:7" hidden="1">
      <c r="B127" s="41" t="s">
        <v>791</v>
      </c>
      <c r="C127" s="42"/>
      <c r="D127" s="41"/>
      <c r="E127" s="53"/>
      <c r="F127" s="281"/>
      <c r="G127" s="243"/>
    </row>
    <row r="128" spans="2:7" hidden="1">
      <c r="B128" s="34"/>
      <c r="C128" s="38"/>
      <c r="D128" s="34"/>
      <c r="E128" s="39"/>
      <c r="F128" s="275"/>
      <c r="G128" s="243"/>
    </row>
    <row r="129" spans="2:7" hidden="1">
      <c r="B129" s="34" t="s">
        <v>771</v>
      </c>
      <c r="C129" s="46"/>
      <c r="D129" s="34"/>
      <c r="E129" s="47"/>
      <c r="F129" s="275"/>
      <c r="G129" s="243"/>
    </row>
    <row r="130" spans="2:7" hidden="1">
      <c r="B130" s="34" t="s">
        <v>772</v>
      </c>
      <c r="C130" s="38"/>
      <c r="D130" s="34"/>
      <c r="E130" s="39"/>
      <c r="F130" s="275"/>
      <c r="G130" s="243"/>
    </row>
    <row r="131" spans="2:7" hidden="1">
      <c r="B131" s="34" t="s">
        <v>773</v>
      </c>
      <c r="C131" s="54"/>
      <c r="D131" s="34"/>
      <c r="E131" s="15"/>
      <c r="F131" s="275"/>
      <c r="G131" s="243"/>
    </row>
    <row r="132" spans="2:7" hidden="1">
      <c r="B132" s="34" t="s">
        <v>774</v>
      </c>
      <c r="C132" s="20"/>
      <c r="D132" s="34"/>
      <c r="E132" s="15"/>
      <c r="F132" s="275"/>
      <c r="G132" s="243"/>
    </row>
    <row r="133" spans="2:7" hidden="1">
      <c r="B133" s="34" t="s">
        <v>775</v>
      </c>
      <c r="C133" s="46"/>
      <c r="D133" s="34"/>
      <c r="E133" s="47"/>
      <c r="F133" s="275"/>
      <c r="G133" s="243"/>
    </row>
    <row r="134" spans="2:7" hidden="1">
      <c r="B134" s="34" t="s">
        <v>776</v>
      </c>
      <c r="C134" s="46"/>
      <c r="D134" s="34"/>
      <c r="E134" s="47"/>
      <c r="F134" s="275"/>
      <c r="G134" s="243"/>
    </row>
    <row r="135" spans="2:7" hidden="1">
      <c r="B135" s="34" t="s">
        <v>777</v>
      </c>
      <c r="C135" s="46"/>
      <c r="D135" s="34"/>
      <c r="E135" s="47"/>
      <c r="F135" s="275"/>
      <c r="G135" s="243"/>
    </row>
    <row r="136" spans="2:7" ht="13.5" hidden="1" thickBot="1">
      <c r="B136" s="34" t="s">
        <v>778</v>
      </c>
      <c r="C136" s="38"/>
      <c r="D136" s="52"/>
      <c r="E136" s="49">
        <f>+SUM(D129:D136)</f>
        <v>0</v>
      </c>
      <c r="F136" s="279"/>
      <c r="G136" s="247">
        <f>+SUM(F128:F136)</f>
        <v>0</v>
      </c>
    </row>
    <row r="137" spans="2:7" hidden="1">
      <c r="B137" s="1508" t="s">
        <v>792</v>
      </c>
      <c r="C137" s="1509"/>
      <c r="D137" s="44"/>
      <c r="E137" s="39">
        <f>+E136</f>
        <v>0</v>
      </c>
      <c r="F137" s="276"/>
      <c r="G137" s="243">
        <f>+G136</f>
        <v>0</v>
      </c>
    </row>
    <row r="138" spans="2:7" hidden="1">
      <c r="B138" s="34"/>
      <c r="C138" s="38"/>
      <c r="D138" s="34"/>
      <c r="E138" s="39"/>
      <c r="F138" s="275"/>
      <c r="G138" s="243"/>
    </row>
    <row r="139" spans="2:7" hidden="1">
      <c r="B139" s="41" t="s">
        <v>793</v>
      </c>
      <c r="C139" s="42"/>
      <c r="D139" s="41"/>
      <c r="E139" s="39"/>
      <c r="F139" s="275"/>
      <c r="G139" s="243"/>
    </row>
    <row r="140" spans="2:7" hidden="1">
      <c r="B140" s="34"/>
      <c r="C140" s="38"/>
      <c r="D140" s="34"/>
      <c r="E140" s="39"/>
      <c r="F140" s="275"/>
      <c r="G140" s="243"/>
    </row>
    <row r="141" spans="2:7" hidden="1">
      <c r="B141" s="34" t="s">
        <v>779</v>
      </c>
      <c r="C141" s="46"/>
      <c r="D141" s="34"/>
      <c r="E141" s="47"/>
      <c r="F141" s="275"/>
      <c r="G141" s="243"/>
    </row>
    <row r="142" spans="2:7" hidden="1">
      <c r="B142" s="34" t="s">
        <v>780</v>
      </c>
      <c r="C142" s="46"/>
      <c r="D142" s="34"/>
      <c r="E142" s="47"/>
      <c r="F142" s="275"/>
      <c r="G142" s="243"/>
    </row>
    <row r="143" spans="2:7" hidden="1">
      <c r="B143" s="34" t="s">
        <v>781</v>
      </c>
      <c r="C143" s="46"/>
      <c r="D143" s="34"/>
      <c r="E143" s="47"/>
      <c r="F143" s="275"/>
      <c r="G143" s="243"/>
    </row>
    <row r="144" spans="2:7" hidden="1">
      <c r="B144" s="34" t="s">
        <v>756</v>
      </c>
      <c r="C144" s="46"/>
      <c r="D144" s="34"/>
      <c r="E144" s="47"/>
      <c r="F144" s="275"/>
      <c r="G144" s="243"/>
    </row>
    <row r="145" spans="2:7" ht="13.5" hidden="1" thickBot="1">
      <c r="B145" s="34" t="s">
        <v>782</v>
      </c>
      <c r="C145" s="46"/>
      <c r="D145" s="52"/>
      <c r="E145" s="55">
        <f>+SUM(D141:D145)</f>
        <v>0</v>
      </c>
      <c r="F145" s="279"/>
      <c r="G145" s="247">
        <f>+SUM(F141:F145)</f>
        <v>0</v>
      </c>
    </row>
    <row r="146" spans="2:7" hidden="1">
      <c r="B146" s="1508" t="s">
        <v>794</v>
      </c>
      <c r="C146" s="1509"/>
      <c r="D146" s="44"/>
      <c r="E146" s="56">
        <f>+E145</f>
        <v>0</v>
      </c>
      <c r="F146" s="276"/>
      <c r="G146" s="243">
        <f>+G145</f>
        <v>0</v>
      </c>
    </row>
    <row r="147" spans="2:7" ht="13.5" hidden="1" thickBot="1">
      <c r="B147" s="52"/>
      <c r="C147" s="57"/>
      <c r="D147" s="52"/>
      <c r="E147" s="49"/>
      <c r="F147" s="275"/>
      <c r="G147" s="243"/>
    </row>
    <row r="148" spans="2:7" ht="13.5" hidden="1" thickBot="1">
      <c r="B148" s="1510" t="s">
        <v>795</v>
      </c>
      <c r="C148" s="1511"/>
      <c r="D148" s="58"/>
      <c r="E148" s="37">
        <f>+E125+E137+E146</f>
        <v>0</v>
      </c>
      <c r="F148" s="282"/>
      <c r="G148" s="274">
        <f>+G125+G137+G146</f>
        <v>0</v>
      </c>
    </row>
    <row r="149" spans="2:7" hidden="1">
      <c r="B149" s="34"/>
      <c r="C149" s="38"/>
      <c r="D149" s="34"/>
      <c r="E149" s="39"/>
      <c r="F149" s="275"/>
      <c r="G149" s="243"/>
    </row>
    <row r="150" spans="2:7" hidden="1">
      <c r="B150" s="45" t="s">
        <v>783</v>
      </c>
      <c r="C150" s="46"/>
      <c r="D150" s="59"/>
      <c r="E150" s="47"/>
      <c r="F150" s="283" t="s">
        <v>784</v>
      </c>
      <c r="G150" s="243"/>
    </row>
    <row r="151" spans="2:7" hidden="1">
      <c r="B151" s="45" t="s">
        <v>785</v>
      </c>
      <c r="C151" s="46"/>
      <c r="D151" s="59"/>
      <c r="E151" s="47"/>
      <c r="F151" s="283" t="s">
        <v>784</v>
      </c>
      <c r="G151" s="243"/>
    </row>
    <row r="152" spans="2:7" ht="13.5" hidden="1" thickBot="1">
      <c r="B152" s="60"/>
      <c r="C152" s="61"/>
      <c r="D152" s="60"/>
      <c r="E152" s="50"/>
      <c r="F152" s="245"/>
      <c r="G152" s="247"/>
    </row>
    <row r="153" spans="2:7" hidden="1">
      <c r="B153" s="62" t="s">
        <v>825</v>
      </c>
      <c r="C153" s="31"/>
      <c r="D153" s="31"/>
      <c r="E153" s="31"/>
      <c r="F153" s="251"/>
      <c r="G153" s="250"/>
    </row>
    <row r="154" spans="2:7" ht="27" hidden="1" customHeight="1">
      <c r="B154" s="1496" t="s">
        <v>796</v>
      </c>
      <c r="C154" s="1497"/>
      <c r="D154" s="1497"/>
      <c r="E154" s="1497"/>
      <c r="F154" s="1497"/>
      <c r="G154" s="1498"/>
    </row>
    <row r="155" spans="2:7" hidden="1">
      <c r="B155" s="10" t="s">
        <v>797</v>
      </c>
      <c r="C155" s="35"/>
      <c r="D155" s="35"/>
      <c r="E155" s="35"/>
      <c r="F155" s="244"/>
      <c r="G155" s="243"/>
    </row>
    <row r="156" spans="2:7" ht="13.5" hidden="1" thickBot="1">
      <c r="B156" s="10" t="s">
        <v>798</v>
      </c>
      <c r="C156" s="35"/>
      <c r="D156" s="35"/>
      <c r="E156" s="35"/>
      <c r="F156" s="244"/>
      <c r="G156" s="243"/>
    </row>
    <row r="157" spans="2:7" ht="13.5" hidden="1" thickBot="1">
      <c r="B157" s="64"/>
      <c r="C157" s="37"/>
      <c r="D157" s="1499" t="s">
        <v>807</v>
      </c>
      <c r="E157" s="1499"/>
      <c r="F157" s="1499"/>
      <c r="G157" s="1500"/>
    </row>
    <row r="158" spans="2:7" ht="13.5" hidden="1" thickBot="1">
      <c r="B158" s="65"/>
      <c r="C158" s="40"/>
      <c r="D158" s="35"/>
      <c r="E158" s="66" t="s">
        <v>808</v>
      </c>
      <c r="F158" s="244"/>
      <c r="G158" s="284" t="s">
        <v>809</v>
      </c>
    </row>
    <row r="159" spans="2:7" hidden="1">
      <c r="B159" s="34" t="s">
        <v>799</v>
      </c>
      <c r="C159" s="40"/>
      <c r="D159" s="35"/>
      <c r="E159" s="67"/>
      <c r="F159" s="244"/>
      <c r="G159" s="241"/>
    </row>
    <row r="160" spans="2:7" hidden="1">
      <c r="B160" s="34" t="s">
        <v>800</v>
      </c>
      <c r="C160" s="40"/>
      <c r="D160" s="35"/>
      <c r="E160" s="67"/>
      <c r="F160" s="244"/>
      <c r="G160" s="241"/>
    </row>
    <row r="161" spans="2:7" hidden="1">
      <c r="B161" s="34" t="s">
        <v>801</v>
      </c>
      <c r="C161" s="40"/>
      <c r="D161" s="35"/>
      <c r="E161" s="67"/>
      <c r="F161" s="244"/>
      <c r="G161" s="241"/>
    </row>
    <row r="162" spans="2:7" hidden="1">
      <c r="B162" s="34" t="s">
        <v>802</v>
      </c>
      <c r="C162" s="40"/>
      <c r="D162" s="35"/>
      <c r="E162" s="67"/>
      <c r="F162" s="244"/>
      <c r="G162" s="241"/>
    </row>
    <row r="163" spans="2:7" hidden="1">
      <c r="B163" s="34" t="s">
        <v>803</v>
      </c>
      <c r="C163" s="40"/>
      <c r="D163" s="35"/>
      <c r="E163" s="67"/>
      <c r="F163" s="244"/>
      <c r="G163" s="241"/>
    </row>
    <row r="164" spans="2:7" hidden="1">
      <c r="B164" s="34" t="s">
        <v>804</v>
      </c>
      <c r="C164" s="40"/>
      <c r="D164" s="35"/>
      <c r="E164" s="67"/>
      <c r="F164" s="244"/>
      <c r="G164" s="241"/>
    </row>
    <row r="165" spans="2:7" hidden="1">
      <c r="B165" s="34" t="s">
        <v>805</v>
      </c>
      <c r="C165" s="40"/>
      <c r="D165" s="35"/>
      <c r="E165" s="67"/>
      <c r="F165" s="244"/>
      <c r="G165" s="241"/>
    </row>
    <row r="166" spans="2:7" hidden="1">
      <c r="B166" s="34"/>
      <c r="C166" s="40"/>
      <c r="D166" s="35"/>
      <c r="E166" s="67"/>
      <c r="F166" s="244"/>
      <c r="G166" s="241"/>
    </row>
    <row r="167" spans="2:7" ht="13.5" hidden="1" thickBot="1">
      <c r="B167" s="45" t="s">
        <v>806</v>
      </c>
      <c r="C167" s="40"/>
      <c r="D167" s="35"/>
      <c r="E167" s="68">
        <f>SUM(E159:E166)</f>
        <v>0</v>
      </c>
      <c r="F167" s="244"/>
      <c r="G167" s="285">
        <f>SUM(G159:G166)</f>
        <v>0</v>
      </c>
    </row>
    <row r="168" spans="2:7" ht="14.25" hidden="1" thickTop="1" thickBot="1">
      <c r="B168" s="60"/>
      <c r="C168" s="50"/>
      <c r="D168" s="61"/>
      <c r="E168" s="69"/>
      <c r="F168" s="248"/>
      <c r="G168" s="286"/>
    </row>
    <row r="169" spans="2:7" hidden="1"/>
    <row r="170" spans="2:7" hidden="1"/>
    <row r="171" spans="2:7" hidden="1"/>
    <row r="172" spans="2:7" hidden="1"/>
    <row r="173" spans="2:7" hidden="1"/>
    <row r="174" spans="2:7" hidden="1"/>
    <row r="175" spans="2:7" hidden="1"/>
    <row r="176" spans="2:7"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sheetData>
  <mergeCells count="28">
    <mergeCell ref="B1:G1"/>
    <mergeCell ref="B52:G52"/>
    <mergeCell ref="F3:G4"/>
    <mergeCell ref="E3:E4"/>
    <mergeCell ref="D3:D4"/>
    <mergeCell ref="C3:C4"/>
    <mergeCell ref="B3:B4"/>
    <mergeCell ref="B2:G2"/>
    <mergeCell ref="E54:E55"/>
    <mergeCell ref="D5:E5"/>
    <mergeCell ref="F5:G5"/>
    <mergeCell ref="B50:G50"/>
    <mergeCell ref="B53:G53"/>
    <mergeCell ref="F54:G55"/>
    <mergeCell ref="B54:B55"/>
    <mergeCell ref="C54:C55"/>
    <mergeCell ref="D54:D55"/>
    <mergeCell ref="B154:G154"/>
    <mergeCell ref="D157:G157"/>
    <mergeCell ref="D56:E56"/>
    <mergeCell ref="F56:G56"/>
    <mergeCell ref="B93:G93"/>
    <mergeCell ref="B110:C110"/>
    <mergeCell ref="B123:C123"/>
    <mergeCell ref="B125:C125"/>
    <mergeCell ref="B137:C137"/>
    <mergeCell ref="B146:C146"/>
    <mergeCell ref="B148:C148"/>
  </mergeCells>
  <phoneticPr fontId="0" type="noConversion"/>
  <pageMargins left="0.31496062992126" right="0.118110236220472" top="0.74803149606299202" bottom="0.74803149606299202" header="0.31496062992126" footer="0.31496062992126"/>
  <pageSetup paperSize="9" scale="85" orientation="portrait" verticalDpi="1200" r:id="rId1"/>
  <rowBreaks count="2" manualBreakCount="2">
    <brk id="52" max="16383" man="1"/>
    <brk id="93" max="16383" man="1"/>
  </rowBreaks>
  <colBreaks count="1" manualBreakCount="1">
    <brk id="1" max="1048575" man="1"/>
  </colBreaks>
  <ignoredErrors>
    <ignoredError sqref="F25"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21"/>
  <sheetViews>
    <sheetView zoomScale="115" zoomScaleNormal="115" workbookViewId="0">
      <pane xSplit="5" topLeftCell="F1" activePane="topRight" state="frozen"/>
      <selection activeCell="A58" sqref="A58"/>
      <selection pane="topRight" activeCell="F207" sqref="F207"/>
    </sheetView>
  </sheetViews>
  <sheetFormatPr defaultRowHeight="11.25"/>
  <cols>
    <col min="1" max="1" width="4.42578125" style="301" customWidth="1"/>
    <col min="2" max="2" width="37.28515625" style="301" customWidth="1"/>
    <col min="3" max="3" width="10.28515625" style="301" hidden="1" customWidth="1"/>
    <col min="4" max="4" width="15.5703125" style="301" bestFit="1" customWidth="1"/>
    <col min="5" max="5" width="15.7109375" style="301" customWidth="1"/>
    <col min="6" max="6" width="15.42578125" style="301" customWidth="1"/>
    <col min="7" max="7" width="15.28515625" style="301" customWidth="1"/>
    <col min="8" max="8" width="12.42578125" style="301" customWidth="1"/>
    <col min="9" max="9" width="13.140625" style="301" bestFit="1" customWidth="1"/>
    <col min="10" max="10" width="13.7109375" style="301" bestFit="1" customWidth="1"/>
    <col min="11" max="11" width="13.85546875" style="301" customWidth="1"/>
    <col min="12" max="12" width="12.7109375" style="301" customWidth="1"/>
    <col min="13" max="13" width="13.140625" style="301" bestFit="1" customWidth="1"/>
    <col min="14" max="14" width="10.5703125" style="301" hidden="1" customWidth="1"/>
    <col min="15" max="15" width="10.7109375" style="301" hidden="1" customWidth="1"/>
    <col min="16" max="16" width="12.7109375" style="301" bestFit="1" customWidth="1"/>
    <col min="17" max="17" width="13" style="301" customWidth="1"/>
    <col min="18" max="18" width="12.140625" style="301" customWidth="1"/>
    <col min="19" max="19" width="11.85546875" style="301" bestFit="1" customWidth="1"/>
    <col min="20" max="20" width="12.85546875" style="301" customWidth="1"/>
    <col min="21" max="21" width="15.85546875" style="301" bestFit="1" customWidth="1"/>
    <col min="22" max="22" width="13.5703125" style="317" bestFit="1" customWidth="1"/>
    <col min="23" max="23" width="13.5703125" style="301" bestFit="1" customWidth="1"/>
    <col min="24" max="24" width="12.5703125" style="301" customWidth="1"/>
    <col min="25" max="25" width="15.140625" style="301" customWidth="1"/>
    <col min="26" max="26" width="15.5703125" style="301" customWidth="1"/>
    <col min="27" max="27" width="13.5703125" style="301" customWidth="1"/>
    <col min="28" max="28" width="12.5703125" style="301" hidden="1" customWidth="1"/>
    <col min="29" max="29" width="12.42578125" style="301" customWidth="1"/>
    <col min="30" max="30" width="14.140625" style="301" customWidth="1"/>
    <col min="31" max="31" width="15" style="301" customWidth="1"/>
    <col min="32" max="32" width="13.85546875" style="301" customWidth="1"/>
    <col min="33" max="33" width="18" style="301" customWidth="1"/>
    <col min="34" max="34" width="10.42578125" style="301" bestFit="1" customWidth="1"/>
    <col min="35" max="35" width="14" style="301" bestFit="1" customWidth="1"/>
    <col min="36" max="16384" width="9.140625" style="301"/>
  </cols>
  <sheetData>
    <row r="1" spans="2:7" ht="21" customHeight="1">
      <c r="B1" s="316"/>
    </row>
    <row r="2" spans="2:7" ht="16.5" hidden="1" customHeight="1"/>
    <row r="3" spans="2:7" ht="16.5" customHeight="1">
      <c r="B3" s="318" t="s">
        <v>820</v>
      </c>
    </row>
    <row r="4" spans="2:7" ht="11.25" customHeight="1">
      <c r="B4" s="1480" t="s">
        <v>946</v>
      </c>
      <c r="C4" s="1480"/>
      <c r="D4" s="1480"/>
      <c r="E4" s="1480"/>
    </row>
    <row r="5" spans="2:7">
      <c r="B5" s="1480"/>
      <c r="C5" s="1480"/>
      <c r="D5" s="1480"/>
      <c r="E5" s="1480"/>
    </row>
    <row r="6" spans="2:7" ht="13.5" thickBot="1">
      <c r="B6" s="319"/>
      <c r="C6" s="319"/>
      <c r="D6" s="1491" t="s">
        <v>142</v>
      </c>
      <c r="E6" s="1491"/>
    </row>
    <row r="7" spans="2:7" ht="12" thickBot="1">
      <c r="B7" s="249"/>
      <c r="C7" s="250"/>
      <c r="D7" s="1492" t="s">
        <v>1225</v>
      </c>
      <c r="E7" s="1493"/>
      <c r="F7" s="1494"/>
      <c r="G7" s="1494"/>
    </row>
    <row r="8" spans="2:7" ht="12" thickBot="1">
      <c r="B8" s="245"/>
      <c r="C8" s="247"/>
      <c r="D8" s="321" t="s">
        <v>813</v>
      </c>
      <c r="E8" s="322" t="s">
        <v>814</v>
      </c>
      <c r="F8" s="663"/>
      <c r="G8" s="663"/>
    </row>
    <row r="9" spans="2:7" ht="12" thickBot="1">
      <c r="B9" s="257" t="s">
        <v>817</v>
      </c>
      <c r="C9" s="244"/>
      <c r="D9" s="240"/>
      <c r="E9" s="243"/>
      <c r="F9" s="244"/>
      <c r="G9" s="244"/>
    </row>
    <row r="10" spans="2:7" ht="12" thickBot="1">
      <c r="B10" s="262" t="s">
        <v>815</v>
      </c>
      <c r="C10" s="244"/>
      <c r="D10" s="323">
        <v>1000000000</v>
      </c>
      <c r="E10" s="323">
        <v>1000000000</v>
      </c>
      <c r="F10" s="239"/>
      <c r="G10" s="649"/>
    </row>
    <row r="11" spans="2:7">
      <c r="B11" s="237"/>
      <c r="C11" s="244"/>
      <c r="D11" s="325"/>
      <c r="E11" s="326"/>
      <c r="F11" s="341"/>
      <c r="G11" s="341"/>
    </row>
    <row r="12" spans="2:7" ht="12" thickBot="1">
      <c r="B12" s="257" t="s">
        <v>818</v>
      </c>
      <c r="C12" s="244"/>
      <c r="D12" s="325"/>
      <c r="E12" s="326"/>
      <c r="F12" s="341"/>
      <c r="G12" s="341"/>
    </row>
    <row r="13" spans="2:7" ht="12" thickBot="1">
      <c r="B13" s="327" t="s">
        <v>613</v>
      </c>
      <c r="C13" s="244"/>
      <c r="D13" s="323">
        <v>1000000000</v>
      </c>
      <c r="E13" s="323">
        <v>1000000000</v>
      </c>
      <c r="F13" s="239"/>
      <c r="G13" s="664"/>
    </row>
    <row r="14" spans="2:7" ht="12" thickBot="1">
      <c r="B14" s="327" t="s">
        <v>906</v>
      </c>
      <c r="C14" s="244"/>
      <c r="D14" s="328"/>
      <c r="E14" s="329"/>
      <c r="F14" s="239"/>
      <c r="G14" s="664"/>
    </row>
    <row r="15" spans="2:7" ht="12" thickBot="1">
      <c r="B15" s="327" t="s">
        <v>821</v>
      </c>
      <c r="C15" s="244"/>
      <c r="D15" s="328"/>
      <c r="E15" s="329"/>
      <c r="F15" s="239"/>
      <c r="G15" s="239"/>
    </row>
    <row r="16" spans="2:7" ht="12" thickBot="1">
      <c r="B16" s="235" t="s">
        <v>614</v>
      </c>
      <c r="C16" s="248"/>
      <c r="D16" s="323">
        <v>1000000000</v>
      </c>
      <c r="E16" s="329">
        <f>+E13+E14-E15</f>
        <v>1000000000</v>
      </c>
      <c r="F16" s="239"/>
      <c r="G16" s="239"/>
    </row>
    <row r="18" spans="2:7" ht="23.25" hidden="1" customHeight="1">
      <c r="B18" s="1495" t="s">
        <v>827</v>
      </c>
      <c r="C18" s="1495"/>
      <c r="D18" s="1495"/>
      <c r="E18" s="1495"/>
      <c r="F18" s="1495"/>
      <c r="G18" s="1495"/>
    </row>
    <row r="19" spans="2:7" hidden="1"/>
    <row r="20" spans="2:7" ht="44.25" hidden="1" customHeight="1">
      <c r="B20" s="1490" t="s">
        <v>8</v>
      </c>
      <c r="C20" s="1490"/>
      <c r="D20" s="1490"/>
      <c r="E20" s="1490"/>
      <c r="F20" s="1490"/>
      <c r="G20" s="1490"/>
    </row>
    <row r="21" spans="2:7" hidden="1"/>
    <row r="22" spans="2:7" ht="21.75" hidden="1" customHeight="1">
      <c r="B22" s="1490" t="s">
        <v>822</v>
      </c>
      <c r="C22" s="1490"/>
      <c r="D22" s="1490"/>
      <c r="E22" s="1490"/>
      <c r="F22" s="1490"/>
      <c r="G22" s="1490"/>
    </row>
    <row r="23" spans="2:7" hidden="1"/>
    <row r="24" spans="2:7" ht="23.25" hidden="1" customHeight="1">
      <c r="B24" s="1475" t="s">
        <v>832</v>
      </c>
      <c r="C24" s="1475"/>
      <c r="D24" s="1475"/>
      <c r="E24" s="1475"/>
      <c r="F24" s="1475"/>
      <c r="G24" s="1475"/>
    </row>
    <row r="25" spans="2:7" hidden="1"/>
    <row r="26" spans="2:7" ht="14.25" hidden="1" customHeight="1">
      <c r="B26" s="1477" t="s">
        <v>833</v>
      </c>
      <c r="C26" s="1477"/>
      <c r="D26" s="1477"/>
      <c r="E26" s="1477"/>
      <c r="F26" s="1477"/>
      <c r="G26" s="1477"/>
    </row>
    <row r="27" spans="2:7" ht="14.25" hidden="1" customHeight="1">
      <c r="B27" s="330"/>
      <c r="C27" s="331"/>
      <c r="D27" s="331"/>
      <c r="E27" s="331"/>
      <c r="F27" s="331"/>
      <c r="G27" s="331"/>
    </row>
    <row r="28" spans="2:7" ht="14.25" hidden="1" customHeight="1">
      <c r="B28" s="1477" t="s">
        <v>834</v>
      </c>
      <c r="C28" s="1477"/>
      <c r="D28" s="1477"/>
      <c r="E28" s="1477"/>
      <c r="F28" s="1477"/>
      <c r="G28" s="1477"/>
    </row>
    <row r="29" spans="2:7" ht="14.25" hidden="1" customHeight="1">
      <c r="B29" s="330"/>
      <c r="C29" s="331"/>
      <c r="D29" s="331"/>
      <c r="E29" s="331"/>
      <c r="F29" s="331"/>
      <c r="G29" s="331"/>
    </row>
    <row r="30" spans="2:7" ht="14.25" hidden="1" customHeight="1">
      <c r="B30" s="1477" t="s">
        <v>835</v>
      </c>
      <c r="C30" s="1477"/>
      <c r="D30" s="1477"/>
      <c r="E30" s="1477"/>
      <c r="F30" s="1477"/>
      <c r="G30" s="1477"/>
    </row>
    <row r="31" spans="2:7" ht="14.25" hidden="1" customHeight="1">
      <c r="B31" s="330"/>
      <c r="C31" s="331"/>
      <c r="D31" s="331"/>
      <c r="E31" s="331"/>
      <c r="F31" s="331"/>
      <c r="G31" s="331"/>
    </row>
    <row r="32" spans="2:7" ht="14.25" hidden="1" customHeight="1">
      <c r="B32" s="1477" t="s">
        <v>836</v>
      </c>
      <c r="C32" s="1477"/>
      <c r="D32" s="1477"/>
      <c r="E32" s="1477"/>
      <c r="F32" s="1477"/>
      <c r="G32" s="1477"/>
    </row>
    <row r="33" spans="2:7" ht="14.25" hidden="1" customHeight="1">
      <c r="B33" s="330"/>
      <c r="C33" s="330"/>
      <c r="D33" s="330"/>
      <c r="E33" s="330"/>
      <c r="F33" s="330"/>
      <c r="G33" s="330"/>
    </row>
    <row r="34" spans="2:7" ht="14.25" hidden="1" customHeight="1">
      <c r="B34" s="1477" t="s">
        <v>837</v>
      </c>
      <c r="C34" s="1477"/>
      <c r="D34" s="1477"/>
      <c r="E34" s="1477"/>
      <c r="F34" s="1477"/>
      <c r="G34" s="1477"/>
    </row>
    <row r="35" spans="2:7" ht="14.25" hidden="1" customHeight="1">
      <c r="B35" s="330"/>
      <c r="C35" s="331"/>
      <c r="D35" s="331"/>
      <c r="E35" s="331"/>
      <c r="F35" s="331"/>
      <c r="G35" s="331"/>
    </row>
    <row r="36" spans="2:7" ht="14.25" hidden="1" customHeight="1">
      <c r="B36" s="1477" t="s">
        <v>838</v>
      </c>
      <c r="C36" s="1477"/>
      <c r="D36" s="1477"/>
      <c r="E36" s="1477"/>
      <c r="F36" s="1477"/>
      <c r="G36" s="1477"/>
    </row>
    <row r="37" spans="2:7" ht="14.25" hidden="1" customHeight="1">
      <c r="B37" s="330"/>
      <c r="C37" s="331"/>
      <c r="D37" s="331"/>
      <c r="E37" s="331"/>
      <c r="F37" s="331"/>
      <c r="G37" s="331"/>
    </row>
    <row r="38" spans="2:7" ht="14.25" hidden="1" customHeight="1">
      <c r="B38" s="1477" t="s">
        <v>839</v>
      </c>
      <c r="C38" s="1477"/>
      <c r="D38" s="1477"/>
      <c r="E38" s="1477"/>
      <c r="F38" s="1477"/>
      <c r="G38" s="1477"/>
    </row>
    <row r="40" spans="2:7">
      <c r="B40" s="318" t="s">
        <v>846</v>
      </c>
    </row>
    <row r="41" spans="2:7" ht="12" thickBot="1">
      <c r="B41" s="318"/>
    </row>
    <row r="42" spans="2:7" ht="12" thickBot="1">
      <c r="B42" s="702"/>
      <c r="D42" s="1487" t="s">
        <v>1225</v>
      </c>
      <c r="E42" s="1488"/>
      <c r="F42" s="1488" t="s">
        <v>1204</v>
      </c>
      <c r="G42" s="1489"/>
    </row>
    <row r="43" spans="2:7">
      <c r="B43" s="766" t="s">
        <v>717</v>
      </c>
      <c r="D43" s="768"/>
      <c r="E43" s="769"/>
      <c r="F43" s="768"/>
      <c r="G43" s="769"/>
    </row>
    <row r="44" spans="2:7">
      <c r="B44" s="337" t="s">
        <v>947</v>
      </c>
      <c r="D44" s="770">
        <v>688326</v>
      </c>
      <c r="E44" s="763"/>
      <c r="F44" s="770">
        <f>'BS &amp; Notes 2013-14'!D44</f>
        <v>0</v>
      </c>
      <c r="G44" s="763"/>
    </row>
    <row r="45" spans="2:7" ht="12" thickBot="1">
      <c r="B45" s="337" t="s">
        <v>948</v>
      </c>
      <c r="D45" s="771">
        <v>0</v>
      </c>
      <c r="E45" s="763"/>
      <c r="F45" s="771">
        <f>'BS &amp; Notes 2013-14'!D45</f>
        <v>0</v>
      </c>
      <c r="G45" s="763"/>
    </row>
    <row r="46" spans="2:7">
      <c r="B46" s="337" t="s">
        <v>614</v>
      </c>
      <c r="D46" s="770"/>
      <c r="E46" s="763">
        <f>+D44+D45</f>
        <v>688326</v>
      </c>
      <c r="F46" s="770"/>
      <c r="G46" s="763">
        <f>+F44+F45</f>
        <v>0</v>
      </c>
    </row>
    <row r="47" spans="2:7">
      <c r="B47" s="337"/>
      <c r="D47" s="770"/>
      <c r="E47" s="763"/>
      <c r="F47" s="770"/>
      <c r="G47" s="763"/>
    </row>
    <row r="48" spans="2:7">
      <c r="B48" s="337" t="s">
        <v>949</v>
      </c>
      <c r="D48" s="770">
        <f>G52</f>
        <v>0</v>
      </c>
      <c r="E48" s="763"/>
      <c r="F48" s="770">
        <f>'BS &amp; Notes 2013-14'!D48</f>
        <v>0</v>
      </c>
      <c r="G48" s="763"/>
    </row>
    <row r="49" spans="2:7" ht="12" thickBot="1">
      <c r="B49" s="337" t="s">
        <v>950</v>
      </c>
      <c r="D49" s="771">
        <f>D82</f>
        <v>100000000</v>
      </c>
      <c r="E49" s="763"/>
      <c r="F49" s="771">
        <f>'BS &amp; Notes 2013-14'!D49</f>
        <v>0</v>
      </c>
      <c r="G49" s="763"/>
    </row>
    <row r="50" spans="2:7">
      <c r="B50" s="337"/>
      <c r="D50" s="770">
        <f>+D48+D49</f>
        <v>100000000</v>
      </c>
      <c r="E50" s="763"/>
      <c r="F50" s="770">
        <f>+F48+F49</f>
        <v>0</v>
      </c>
      <c r="G50" s="763"/>
    </row>
    <row r="51" spans="2:7" ht="12" thickBot="1">
      <c r="B51" s="337" t="s">
        <v>951</v>
      </c>
      <c r="D51" s="771"/>
      <c r="E51" s="763"/>
      <c r="F51" s="771">
        <v>0</v>
      </c>
      <c r="G51" s="763"/>
    </row>
    <row r="52" spans="2:7">
      <c r="B52" s="337" t="s">
        <v>614</v>
      </c>
      <c r="D52" s="770"/>
      <c r="E52" s="763">
        <f>+D50-D51</f>
        <v>100000000</v>
      </c>
      <c r="F52" s="770"/>
      <c r="G52" s="763">
        <f>+F50-F51</f>
        <v>0</v>
      </c>
    </row>
    <row r="53" spans="2:7">
      <c r="B53" s="337"/>
      <c r="D53" s="770"/>
      <c r="E53" s="763"/>
      <c r="F53" s="770"/>
      <c r="G53" s="763"/>
    </row>
    <row r="54" spans="2:7" ht="21">
      <c r="B54" s="337" t="s">
        <v>1199</v>
      </c>
      <c r="D54" s="770">
        <f>G58</f>
        <v>0</v>
      </c>
      <c r="E54" s="763"/>
      <c r="F54" s="770">
        <f>'BS &amp; Notes 2013-14'!D54</f>
        <v>0</v>
      </c>
      <c r="G54" s="763"/>
    </row>
    <row r="55" spans="2:7" ht="12" thickBot="1">
      <c r="B55" s="337" t="s">
        <v>950</v>
      </c>
      <c r="D55" s="771"/>
      <c r="E55" s="763"/>
      <c r="F55" s="771">
        <f>'BS &amp; Notes 2013-14'!D55</f>
        <v>0</v>
      </c>
      <c r="G55" s="763"/>
    </row>
    <row r="56" spans="2:7">
      <c r="B56" s="337"/>
      <c r="D56" s="770">
        <f>+D54+D55</f>
        <v>0</v>
      </c>
      <c r="E56" s="763"/>
      <c r="F56" s="770">
        <f>+F54+F55</f>
        <v>0</v>
      </c>
      <c r="G56" s="763"/>
    </row>
    <row r="57" spans="2:7" ht="12" thickBot="1">
      <c r="B57" s="337" t="s">
        <v>951</v>
      </c>
      <c r="D57" s="771"/>
      <c r="E57" s="763"/>
      <c r="F57" s="771">
        <f>'BS &amp; Notes 2013-14'!D57</f>
        <v>0</v>
      </c>
      <c r="G57" s="763"/>
    </row>
    <row r="58" spans="2:7">
      <c r="B58" s="337" t="s">
        <v>614</v>
      </c>
      <c r="D58" s="770"/>
      <c r="E58" s="763">
        <f>+D56-D57</f>
        <v>0</v>
      </c>
      <c r="F58" s="770"/>
      <c r="G58" s="763">
        <f>+F56-F57</f>
        <v>0</v>
      </c>
    </row>
    <row r="59" spans="2:7">
      <c r="B59" s="337"/>
      <c r="D59" s="770"/>
      <c r="E59" s="763"/>
      <c r="F59" s="770"/>
      <c r="G59" s="763"/>
    </row>
    <row r="60" spans="2:7" ht="21">
      <c r="B60" s="337" t="s">
        <v>1194</v>
      </c>
      <c r="D60" s="770">
        <f>G64</f>
        <v>0</v>
      </c>
      <c r="E60" s="763"/>
      <c r="F60" s="770">
        <f>'BS &amp; Notes 2013-14'!D60</f>
        <v>0</v>
      </c>
      <c r="G60" s="763"/>
    </row>
    <row r="61" spans="2:7" ht="12" thickBot="1">
      <c r="B61" s="337" t="s">
        <v>950</v>
      </c>
      <c r="D61" s="771"/>
      <c r="E61" s="763"/>
      <c r="F61" s="771">
        <f>'BS &amp; Notes 2013-14'!D61</f>
        <v>0</v>
      </c>
      <c r="G61" s="763"/>
    </row>
    <row r="62" spans="2:7">
      <c r="B62" s="337"/>
      <c r="D62" s="770">
        <f>+D60+D61</f>
        <v>0</v>
      </c>
      <c r="E62" s="763"/>
      <c r="F62" s="770">
        <f>+F60+F61</f>
        <v>0</v>
      </c>
      <c r="G62" s="763"/>
    </row>
    <row r="63" spans="2:7" ht="12" thickBot="1">
      <c r="B63" s="337" t="s">
        <v>951</v>
      </c>
      <c r="D63" s="771"/>
      <c r="E63" s="763"/>
      <c r="F63" s="771">
        <f>'BS &amp; Notes 2013-14'!D63</f>
        <v>0</v>
      </c>
      <c r="G63" s="763"/>
    </row>
    <row r="64" spans="2:7">
      <c r="B64" s="337" t="s">
        <v>614</v>
      </c>
      <c r="D64" s="770"/>
      <c r="E64" s="763">
        <f>+D62-D63</f>
        <v>0</v>
      </c>
      <c r="F64" s="770"/>
      <c r="G64" s="763">
        <f>+F62-F63</f>
        <v>0</v>
      </c>
    </row>
    <row r="65" spans="2:7">
      <c r="B65" s="337"/>
      <c r="D65" s="770"/>
      <c r="E65" s="763"/>
      <c r="F65" s="770"/>
      <c r="G65" s="763"/>
    </row>
    <row r="66" spans="2:7" ht="21">
      <c r="B66" s="337" t="s">
        <v>1218</v>
      </c>
      <c r="D66" s="770">
        <f>G70</f>
        <v>0</v>
      </c>
      <c r="E66" s="763"/>
      <c r="F66" s="770">
        <f>'BS &amp; Notes 2013-14'!D66</f>
        <v>0</v>
      </c>
      <c r="G66" s="763"/>
    </row>
    <row r="67" spans="2:7" ht="12" thickBot="1">
      <c r="B67" s="337" t="s">
        <v>718</v>
      </c>
      <c r="D67" s="771"/>
      <c r="E67" s="763"/>
      <c r="F67" s="771">
        <f>'BS &amp; Notes 2013-14'!D67</f>
        <v>0</v>
      </c>
      <c r="G67" s="763"/>
    </row>
    <row r="68" spans="2:7">
      <c r="B68" s="337"/>
      <c r="D68" s="770">
        <f>+D66+D67</f>
        <v>0</v>
      </c>
      <c r="E68" s="763"/>
      <c r="F68" s="770">
        <f>+F66+F67</f>
        <v>0</v>
      </c>
      <c r="G68" s="763"/>
    </row>
    <row r="69" spans="2:7" ht="12" thickBot="1">
      <c r="B69" s="337" t="s">
        <v>719</v>
      </c>
      <c r="D69" s="771"/>
      <c r="E69" s="763"/>
      <c r="F69" s="771">
        <f>'BS &amp; Notes 2013-14'!D69</f>
        <v>0</v>
      </c>
      <c r="G69" s="763"/>
    </row>
    <row r="70" spans="2:7">
      <c r="B70" s="337" t="s">
        <v>614</v>
      </c>
      <c r="D70" s="770"/>
      <c r="E70" s="763">
        <f>+D68-D69</f>
        <v>0</v>
      </c>
      <c r="F70" s="770"/>
      <c r="G70" s="763">
        <f>+F68-F69</f>
        <v>0</v>
      </c>
    </row>
    <row r="71" spans="2:7" ht="12" thickBot="1">
      <c r="B71" s="337"/>
      <c r="D71" s="770"/>
      <c r="E71" s="763"/>
      <c r="F71" s="770"/>
      <c r="G71" s="763"/>
    </row>
    <row r="72" spans="2:7" ht="12" thickBot="1">
      <c r="B72" s="323" t="s">
        <v>1195</v>
      </c>
      <c r="D72" s="772"/>
      <c r="E72" s="764">
        <f>SUM(E43:E71)</f>
        <v>100688326</v>
      </c>
      <c r="F72" s="772"/>
      <c r="G72" s="764">
        <f>SUM(G43:G71)</f>
        <v>0</v>
      </c>
    </row>
    <row r="73" spans="2:7">
      <c r="B73" s="767" t="s">
        <v>720</v>
      </c>
      <c r="D73" s="770"/>
      <c r="E73" s="763"/>
      <c r="F73" s="770"/>
      <c r="G73" s="763"/>
    </row>
    <row r="74" spans="2:7">
      <c r="B74" s="337" t="s">
        <v>952</v>
      </c>
      <c r="D74" s="770">
        <f>G86</f>
        <v>0</v>
      </c>
      <c r="E74" s="552"/>
      <c r="F74" s="770">
        <f>'BS &amp; Notes 2013-14'!D74</f>
        <v>0</v>
      </c>
      <c r="G74" s="763"/>
    </row>
    <row r="75" spans="2:7" ht="21">
      <c r="B75" s="337" t="s">
        <v>953</v>
      </c>
      <c r="D75" s="269">
        <f>G1009</f>
        <v>479082693</v>
      </c>
      <c r="E75" s="763"/>
      <c r="F75" s="770">
        <f>'BS &amp; Notes 2013-14'!D75</f>
        <v>0</v>
      </c>
      <c r="G75" s="763"/>
    </row>
    <row r="76" spans="2:7" ht="21.75">
      <c r="B76" s="810" t="s">
        <v>1213</v>
      </c>
      <c r="D76" s="262"/>
      <c r="E76" s="763"/>
      <c r="F76" s="770">
        <f>'BS &amp; Notes 2013-14'!D76</f>
        <v>0</v>
      </c>
      <c r="G76" s="763"/>
    </row>
    <row r="77" spans="2:7">
      <c r="B77" s="810" t="s">
        <v>1265</v>
      </c>
      <c r="D77" s="811">
        <v>-4970413</v>
      </c>
      <c r="E77" s="763"/>
      <c r="F77" s="825">
        <f>'BS &amp; Notes 2013-14'!D77</f>
        <v>0</v>
      </c>
      <c r="G77" s="763"/>
    </row>
    <row r="78" spans="2:7">
      <c r="B78" s="337" t="s">
        <v>721</v>
      </c>
      <c r="D78" s="262">
        <f>SUM(D74:D77)</f>
        <v>474112280</v>
      </c>
      <c r="E78" s="763"/>
      <c r="F78" s="262">
        <f>SUM(F74:F77)</f>
        <v>0</v>
      </c>
      <c r="G78" s="763"/>
    </row>
    <row r="79" spans="2:7">
      <c r="B79" s="767" t="s">
        <v>1196</v>
      </c>
      <c r="D79" s="770"/>
      <c r="E79" s="763"/>
      <c r="F79" s="770"/>
      <c r="G79" s="763"/>
    </row>
    <row r="80" spans="2:7">
      <c r="B80" s="337" t="s">
        <v>954</v>
      </c>
      <c r="D80" s="770">
        <v>250000000</v>
      </c>
      <c r="E80" s="763"/>
      <c r="F80" s="770">
        <f>'BS &amp; Notes 2013-14'!D80</f>
        <v>0</v>
      </c>
      <c r="G80" s="763"/>
    </row>
    <row r="81" spans="2:35">
      <c r="B81" s="337" t="s">
        <v>955</v>
      </c>
      <c r="D81" s="770">
        <v>50894125</v>
      </c>
      <c r="E81" s="763"/>
      <c r="F81" s="770">
        <f>'BS &amp; Notes 2013-14'!D81</f>
        <v>0</v>
      </c>
      <c r="G81" s="763"/>
    </row>
    <row r="82" spans="2:35">
      <c r="B82" s="337" t="s">
        <v>844</v>
      </c>
      <c r="D82" s="770">
        <v>100000000</v>
      </c>
      <c r="E82" s="763"/>
      <c r="F82" s="770">
        <f>'BS &amp; Notes 2013-14'!D82</f>
        <v>0</v>
      </c>
      <c r="G82" s="763"/>
    </row>
    <row r="83" spans="2:35">
      <c r="B83" s="337" t="s">
        <v>1192</v>
      </c>
      <c r="D83" s="770"/>
      <c r="E83" s="763"/>
      <c r="F83" s="770">
        <f>'BS &amp; Notes 2013-14'!D83</f>
        <v>0</v>
      </c>
      <c r="G83" s="763"/>
    </row>
    <row r="84" spans="2:35">
      <c r="B84" s="337" t="s">
        <v>1193</v>
      </c>
      <c r="D84" s="770"/>
      <c r="E84" s="763"/>
      <c r="F84" s="770">
        <f>'BS &amp; Notes 2013-14'!D84</f>
        <v>0</v>
      </c>
      <c r="G84" s="763"/>
    </row>
    <row r="85" spans="2:35" ht="12" thickBot="1">
      <c r="B85" s="337" t="s">
        <v>1219</v>
      </c>
      <c r="D85" s="770"/>
      <c r="E85" s="763"/>
      <c r="F85" s="770">
        <f>'BS &amp; Notes 2013-14'!D85</f>
        <v>0</v>
      </c>
      <c r="G85" s="763"/>
    </row>
    <row r="86" spans="2:35" ht="12" thickBot="1">
      <c r="B86" s="323" t="s">
        <v>1197</v>
      </c>
      <c r="D86" s="772"/>
      <c r="E86" s="271">
        <f>D78-D80-D81-D82-D83-D85</f>
        <v>73218155</v>
      </c>
      <c r="F86" s="772"/>
      <c r="G86" s="764">
        <f>F78-F80-F81-F82-F83-F85-F84</f>
        <v>0</v>
      </c>
    </row>
    <row r="87" spans="2:35" ht="12" thickBot="1">
      <c r="B87" s="338"/>
      <c r="D87" s="771"/>
      <c r="E87" s="765"/>
      <c r="F87" s="771"/>
      <c r="G87" s="765"/>
    </row>
    <row r="88" spans="2:35" ht="12" thickBot="1">
      <c r="B88" s="564" t="s">
        <v>1198</v>
      </c>
      <c r="D88" s="772"/>
      <c r="E88" s="764">
        <f>+E72+E86</f>
        <v>173906481</v>
      </c>
      <c r="F88" s="773"/>
      <c r="G88" s="764">
        <f>+G72+G86</f>
        <v>0</v>
      </c>
    </row>
    <row r="89" spans="2:35">
      <c r="B89" s="318"/>
    </row>
    <row r="91" spans="2:35">
      <c r="B91" s="335" t="s">
        <v>858</v>
      </c>
    </row>
    <row r="92" spans="2:35" hidden="1"/>
    <row r="93" spans="2:35" hidden="1">
      <c r="B93" s="853" t="s">
        <v>861</v>
      </c>
    </row>
    <row r="94" spans="2:35" ht="12" hidden="1" thickBot="1">
      <c r="B94" s="854"/>
      <c r="G94" s="335" t="s">
        <v>247</v>
      </c>
    </row>
    <row r="95" spans="2:35" ht="15.75" hidden="1" customHeight="1" thickBot="1">
      <c r="B95" s="855"/>
      <c r="C95" s="274"/>
      <c r="D95" s="1463" t="s">
        <v>860</v>
      </c>
      <c r="E95" s="1464"/>
      <c r="F95" s="1463" t="s">
        <v>17</v>
      </c>
      <c r="G95" s="1464"/>
      <c r="H95" s="1463" t="s">
        <v>18</v>
      </c>
      <c r="I95" s="1464"/>
      <c r="J95" s="1463" t="s">
        <v>19</v>
      </c>
      <c r="K95" s="1464"/>
      <c r="L95" s="1463" t="s">
        <v>20</v>
      </c>
      <c r="M95" s="1464"/>
      <c r="N95" s="1463" t="s">
        <v>21</v>
      </c>
      <c r="O95" s="1464"/>
      <c r="P95" s="1463" t="s">
        <v>22</v>
      </c>
      <c r="Q95" s="1464"/>
      <c r="R95" s="1463" t="s">
        <v>23</v>
      </c>
      <c r="S95" s="1464"/>
      <c r="T95" s="1463" t="s">
        <v>24</v>
      </c>
      <c r="U95" s="1464"/>
      <c r="V95" s="1463" t="s">
        <v>25</v>
      </c>
      <c r="W95" s="1464"/>
      <c r="X95" s="1463" t="s">
        <v>26</v>
      </c>
      <c r="Y95" s="1464"/>
      <c r="Z95" s="1463" t="s">
        <v>27</v>
      </c>
      <c r="AA95" s="1464"/>
      <c r="AB95" s="1463"/>
      <c r="AC95" s="1464"/>
      <c r="AD95" s="1463" t="s">
        <v>1266</v>
      </c>
      <c r="AE95" s="1464"/>
      <c r="AF95" s="1463" t="s">
        <v>30</v>
      </c>
      <c r="AG95" s="1464"/>
      <c r="AH95" s="1463" t="s">
        <v>31</v>
      </c>
      <c r="AI95" s="1464"/>
    </row>
    <row r="96" spans="2:35" hidden="1">
      <c r="B96" s="856" t="s">
        <v>862</v>
      </c>
      <c r="C96" s="250"/>
      <c r="D96" s="237"/>
      <c r="E96" s="243"/>
      <c r="F96" s="244"/>
      <c r="G96" s="243"/>
      <c r="H96" s="244"/>
      <c r="I96" s="243"/>
      <c r="J96" s="244"/>
      <c r="K96" s="243"/>
      <c r="L96" s="244"/>
      <c r="M96" s="243"/>
      <c r="N96" s="244"/>
      <c r="O96" s="243"/>
      <c r="P96" s="244"/>
      <c r="Q96" s="243"/>
      <c r="R96" s="244"/>
      <c r="S96" s="243"/>
      <c r="T96" s="244"/>
      <c r="U96" s="243"/>
      <c r="V96" s="341"/>
      <c r="W96" s="243"/>
      <c r="X96" s="244"/>
      <c r="Y96" s="243"/>
      <c r="Z96" s="244"/>
      <c r="AA96" s="243"/>
      <c r="AB96" s="244"/>
      <c r="AC96" s="243"/>
      <c r="AD96" s="244"/>
      <c r="AE96" s="243"/>
      <c r="AF96" s="244"/>
      <c r="AG96" s="243"/>
      <c r="AH96" s="244"/>
      <c r="AI96" s="243"/>
    </row>
    <row r="97" spans="2:35" hidden="1">
      <c r="B97" s="857" t="s">
        <v>863</v>
      </c>
      <c r="C97" s="243"/>
      <c r="D97" s="237"/>
      <c r="E97" s="243"/>
      <c r="F97" s="244"/>
      <c r="G97" s="243"/>
      <c r="H97" s="244"/>
      <c r="I97" s="243"/>
      <c r="J97" s="244"/>
      <c r="K97" s="243"/>
      <c r="L97" s="244"/>
      <c r="M97" s="243"/>
      <c r="N97" s="244"/>
      <c r="O97" s="243"/>
      <c r="P97" s="244"/>
      <c r="Q97" s="243"/>
      <c r="R97" s="244"/>
      <c r="S97" s="243"/>
      <c r="T97" s="244"/>
      <c r="U97" s="243"/>
      <c r="V97" s="341"/>
      <c r="W97" s="243"/>
      <c r="X97" s="244"/>
      <c r="Y97" s="243"/>
      <c r="Z97" s="244"/>
      <c r="AA97" s="243"/>
      <c r="AB97" s="244"/>
      <c r="AC97" s="243"/>
      <c r="AD97" s="244"/>
      <c r="AE97" s="243"/>
      <c r="AF97" s="244"/>
      <c r="AG97" s="243"/>
      <c r="AH97" s="244"/>
      <c r="AI97" s="243"/>
    </row>
    <row r="98" spans="2:35" hidden="1">
      <c r="B98" s="858" t="s">
        <v>864</v>
      </c>
      <c r="C98" s="243"/>
      <c r="D98" s="237">
        <f>F98+H98+J98+L98+N98+P98+R98+T98+V98+X98+Z98+AB98+AD98+AF98+AH98</f>
        <v>0</v>
      </c>
      <c r="E98" s="243"/>
      <c r="F98" s="244"/>
      <c r="G98" s="243"/>
      <c r="H98" s="244"/>
      <c r="I98" s="243"/>
      <c r="J98" s="244"/>
      <c r="K98" s="243"/>
      <c r="L98" s="244"/>
      <c r="M98" s="243"/>
      <c r="N98" s="244"/>
      <c r="O98" s="243"/>
      <c r="P98" s="244"/>
      <c r="Q98" s="243"/>
      <c r="R98" s="244"/>
      <c r="S98" s="243"/>
      <c r="T98" s="244"/>
      <c r="U98" s="243"/>
      <c r="V98" s="341"/>
      <c r="W98" s="243"/>
      <c r="X98" s="244"/>
      <c r="Y98" s="243"/>
      <c r="Z98" s="244"/>
      <c r="AA98" s="243"/>
      <c r="AB98" s="244"/>
      <c r="AC98" s="243"/>
      <c r="AD98" s="244"/>
      <c r="AE98" s="243"/>
      <c r="AF98" s="244"/>
      <c r="AG98" s="243"/>
      <c r="AH98" s="244"/>
      <c r="AI98" s="243"/>
    </row>
    <row r="99" spans="2:35" ht="12" hidden="1" thickBot="1">
      <c r="B99" s="858" t="s">
        <v>865</v>
      </c>
      <c r="C99" s="243"/>
      <c r="D99" s="245">
        <f>F99+H99+J99+L99+N99+P99+R99+T99+V99+X99+Z99+AB99+AD99+AF99+AH99</f>
        <v>0</v>
      </c>
      <c r="E99" s="243">
        <f>+SUM(D98:D99)</f>
        <v>0</v>
      </c>
      <c r="F99" s="245"/>
      <c r="G99" s="243">
        <f>+SUM(F98:F99)</f>
        <v>0</v>
      </c>
      <c r="H99" s="245"/>
      <c r="I99" s="243">
        <f>+SUM(H98:H99)</f>
        <v>0</v>
      </c>
      <c r="J99" s="245"/>
      <c r="K99" s="243">
        <f>+SUM(J98:J99)</f>
        <v>0</v>
      </c>
      <c r="L99" s="245"/>
      <c r="M99" s="243">
        <f>+SUM(L98:L99)</f>
        <v>0</v>
      </c>
      <c r="N99" s="245"/>
      <c r="O99" s="243">
        <f>+SUM(N98:N99)</f>
        <v>0</v>
      </c>
      <c r="P99" s="245"/>
      <c r="Q99" s="243">
        <f>+SUM(P98:P99)</f>
        <v>0</v>
      </c>
      <c r="R99" s="245"/>
      <c r="S99" s="243">
        <f>+SUM(R98:R99)</f>
        <v>0</v>
      </c>
      <c r="T99" s="245"/>
      <c r="U99" s="243">
        <f>+SUM(T98:T99)</f>
        <v>0</v>
      </c>
      <c r="V99" s="344"/>
      <c r="W99" s="243">
        <f>+SUM(V98:V99)</f>
        <v>0</v>
      </c>
      <c r="X99" s="245"/>
      <c r="Y99" s="243">
        <f>+SUM(X98:X99)</f>
        <v>0</v>
      </c>
      <c r="Z99" s="245"/>
      <c r="AA99" s="243">
        <f>+SUM(Z98:Z99)</f>
        <v>0</v>
      </c>
      <c r="AB99" s="245"/>
      <c r="AC99" s="243">
        <f>+SUM(AB98:AB99)</f>
        <v>0</v>
      </c>
      <c r="AD99" s="245"/>
      <c r="AE99" s="243">
        <f>+SUM(AD98:AD99)</f>
        <v>0</v>
      </c>
      <c r="AF99" s="245"/>
      <c r="AG99" s="243">
        <f>+SUM(AF98:AF99)</f>
        <v>0</v>
      </c>
      <c r="AH99" s="245"/>
      <c r="AI99" s="243">
        <f>+SUM(AH98:AH99)</f>
        <v>0</v>
      </c>
    </row>
    <row r="100" spans="2:35" hidden="1">
      <c r="B100" s="859"/>
      <c r="C100" s="243"/>
      <c r="D100" s="237"/>
      <c r="E100" s="243"/>
      <c r="F100" s="244"/>
      <c r="G100" s="243"/>
      <c r="H100" s="244"/>
      <c r="I100" s="243"/>
      <c r="J100" s="244"/>
      <c r="K100" s="243"/>
      <c r="L100" s="244"/>
      <c r="M100" s="243"/>
      <c r="N100" s="244"/>
      <c r="O100" s="243"/>
      <c r="P100" s="244"/>
      <c r="Q100" s="243"/>
      <c r="R100" s="244"/>
      <c r="S100" s="243"/>
      <c r="T100" s="244"/>
      <c r="U100" s="243"/>
      <c r="V100" s="341"/>
      <c r="W100" s="243"/>
      <c r="X100" s="244"/>
      <c r="Y100" s="243"/>
      <c r="Z100" s="244"/>
      <c r="AA100" s="243"/>
      <c r="AB100" s="244"/>
      <c r="AC100" s="243"/>
      <c r="AD100" s="244"/>
      <c r="AE100" s="243"/>
      <c r="AF100" s="244"/>
      <c r="AG100" s="243"/>
      <c r="AH100" s="244"/>
      <c r="AI100" s="243"/>
    </row>
    <row r="101" spans="2:35" hidden="1">
      <c r="B101" s="857" t="s">
        <v>866</v>
      </c>
      <c r="C101" s="243"/>
      <c r="D101" s="237"/>
      <c r="E101" s="243"/>
      <c r="F101" s="244"/>
      <c r="G101" s="243"/>
      <c r="H101" s="244"/>
      <c r="I101" s="243"/>
      <c r="J101" s="244"/>
      <c r="K101" s="243"/>
      <c r="L101" s="244"/>
      <c r="M101" s="243"/>
      <c r="N101" s="244"/>
      <c r="O101" s="243"/>
      <c r="P101" s="244"/>
      <c r="Q101" s="243"/>
      <c r="R101" s="244"/>
      <c r="S101" s="243"/>
      <c r="T101" s="244"/>
      <c r="U101" s="243"/>
      <c r="V101" s="341"/>
      <c r="W101" s="243"/>
      <c r="X101" s="244"/>
      <c r="Y101" s="243"/>
      <c r="Z101" s="244"/>
      <c r="AA101" s="243"/>
      <c r="AB101" s="244"/>
      <c r="AC101" s="243"/>
      <c r="AD101" s="244"/>
      <c r="AE101" s="243"/>
      <c r="AF101" s="244"/>
      <c r="AG101" s="243"/>
      <c r="AH101" s="244"/>
      <c r="AI101" s="243"/>
    </row>
    <row r="102" spans="2:35" hidden="1">
      <c r="B102" s="858" t="s">
        <v>864</v>
      </c>
      <c r="C102" s="243"/>
      <c r="D102" s="237">
        <f>F102+H102+J102+L102+N102+P102+R102+T102+V102+X102+Z102+AB102+AD102+AF102+AH102</f>
        <v>0</v>
      </c>
      <c r="E102" s="243"/>
      <c r="F102" s="244"/>
      <c r="G102" s="243"/>
      <c r="H102" s="244"/>
      <c r="I102" s="243"/>
      <c r="J102" s="244"/>
      <c r="K102" s="243"/>
      <c r="L102" s="244"/>
      <c r="M102" s="243"/>
      <c r="N102" s="244"/>
      <c r="O102" s="243"/>
      <c r="P102" s="244"/>
      <c r="Q102" s="243"/>
      <c r="R102" s="244"/>
      <c r="S102" s="243"/>
      <c r="T102" s="244"/>
      <c r="U102" s="243"/>
      <c r="V102" s="341"/>
      <c r="W102" s="243"/>
      <c r="X102" s="244"/>
      <c r="Y102" s="243"/>
      <c r="Z102" s="244"/>
      <c r="AA102" s="243"/>
      <c r="AB102" s="244"/>
      <c r="AC102" s="243"/>
      <c r="AD102" s="244"/>
      <c r="AE102" s="243"/>
      <c r="AF102" s="244"/>
      <c r="AG102" s="243"/>
      <c r="AH102" s="244"/>
      <c r="AI102" s="243"/>
    </row>
    <row r="103" spans="2:35" ht="12" hidden="1" thickBot="1">
      <c r="B103" s="858" t="s">
        <v>865</v>
      </c>
      <c r="C103" s="243"/>
      <c r="D103" s="245">
        <f>F103+H103+J103+L103+N103+P103+R103+T103+V103+X103+Z103+AB103+AD103+AF103+AH103</f>
        <v>0</v>
      </c>
      <c r="E103" s="243">
        <f>+SUM(D102:D103)</f>
        <v>0</v>
      </c>
      <c r="F103" s="245"/>
      <c r="G103" s="243">
        <f>+SUM(F102:F103)</f>
        <v>0</v>
      </c>
      <c r="H103" s="245"/>
      <c r="I103" s="243">
        <f>+SUM(H102:H103)</f>
        <v>0</v>
      </c>
      <c r="J103" s="245"/>
      <c r="K103" s="243">
        <f>+SUM(J102:J103)</f>
        <v>0</v>
      </c>
      <c r="L103" s="245"/>
      <c r="M103" s="243">
        <f>+SUM(L102:L103)</f>
        <v>0</v>
      </c>
      <c r="N103" s="245"/>
      <c r="O103" s="243">
        <f>+SUM(N102:N103)</f>
        <v>0</v>
      </c>
      <c r="P103" s="245"/>
      <c r="Q103" s="243">
        <f>+SUM(P102:P103)</f>
        <v>0</v>
      </c>
      <c r="R103" s="245"/>
      <c r="S103" s="243">
        <f>+SUM(R102:R103)</f>
        <v>0</v>
      </c>
      <c r="T103" s="245"/>
      <c r="U103" s="243">
        <f>+SUM(T102:T103)</f>
        <v>0</v>
      </c>
      <c r="V103" s="344"/>
      <c r="W103" s="243">
        <f>+SUM(V102:V103)</f>
        <v>0</v>
      </c>
      <c r="X103" s="245"/>
      <c r="Y103" s="243">
        <f>+SUM(X102:X103)</f>
        <v>0</v>
      </c>
      <c r="Z103" s="245"/>
      <c r="AA103" s="243">
        <f>+SUM(Z102:Z103)</f>
        <v>0</v>
      </c>
      <c r="AB103" s="245"/>
      <c r="AC103" s="243">
        <f>+SUM(AB102:AB103)</f>
        <v>0</v>
      </c>
      <c r="AD103" s="245"/>
      <c r="AE103" s="243">
        <f>+SUM(AD102:AD103)</f>
        <v>0</v>
      </c>
      <c r="AF103" s="245"/>
      <c r="AG103" s="243">
        <f>+SUM(AF102:AF103)</f>
        <v>0</v>
      </c>
      <c r="AH103" s="245"/>
      <c r="AI103" s="243">
        <f>+SUM(AH102:AH103)</f>
        <v>0</v>
      </c>
    </row>
    <row r="104" spans="2:35" hidden="1">
      <c r="B104" s="859"/>
      <c r="C104" s="243"/>
      <c r="D104" s="237"/>
      <c r="E104" s="243"/>
      <c r="F104" s="244"/>
      <c r="G104" s="243"/>
      <c r="H104" s="244"/>
      <c r="I104" s="243"/>
      <c r="J104" s="244"/>
      <c r="K104" s="243"/>
      <c r="L104" s="244"/>
      <c r="M104" s="243"/>
      <c r="N104" s="244"/>
      <c r="O104" s="243"/>
      <c r="P104" s="244"/>
      <c r="Q104" s="243"/>
      <c r="R104" s="244"/>
      <c r="S104" s="243"/>
      <c r="T104" s="244"/>
      <c r="U104" s="243"/>
      <c r="V104" s="341"/>
      <c r="W104" s="243"/>
      <c r="X104" s="244"/>
      <c r="Y104" s="243"/>
      <c r="Z104" s="244"/>
      <c r="AA104" s="243"/>
      <c r="AB104" s="244"/>
      <c r="AC104" s="243"/>
      <c r="AD104" s="244"/>
      <c r="AE104" s="243"/>
      <c r="AF104" s="244"/>
      <c r="AG104" s="243"/>
      <c r="AH104" s="244"/>
      <c r="AI104" s="243"/>
    </row>
    <row r="105" spans="2:35" hidden="1">
      <c r="B105" s="860" t="s">
        <v>867</v>
      </c>
      <c r="C105" s="243"/>
      <c r="D105" s="237"/>
      <c r="E105" s="243"/>
      <c r="F105" s="244"/>
      <c r="G105" s="243"/>
      <c r="H105" s="244"/>
      <c r="I105" s="243"/>
      <c r="J105" s="244"/>
      <c r="K105" s="243"/>
      <c r="L105" s="244"/>
      <c r="M105" s="243"/>
      <c r="N105" s="244"/>
      <c r="O105" s="243"/>
      <c r="P105" s="244"/>
      <c r="Q105" s="243"/>
      <c r="R105" s="244"/>
      <c r="S105" s="243"/>
      <c r="T105" s="244"/>
      <c r="U105" s="243"/>
      <c r="V105" s="341"/>
      <c r="W105" s="243"/>
      <c r="X105" s="244"/>
      <c r="Y105" s="243"/>
      <c r="Z105" s="244"/>
      <c r="AA105" s="243"/>
      <c r="AB105" s="244"/>
      <c r="AC105" s="243"/>
      <c r="AD105" s="244"/>
      <c r="AE105" s="243"/>
      <c r="AF105" s="244"/>
      <c r="AG105" s="243"/>
      <c r="AH105" s="244"/>
      <c r="AI105" s="243"/>
    </row>
    <row r="106" spans="2:35" hidden="1">
      <c r="B106" s="858" t="s">
        <v>864</v>
      </c>
      <c r="C106" s="243"/>
      <c r="D106" s="237">
        <f>F106+H106+J106+L106+N106+P106+R106+T106+V106+X106+Z106+AB106+AD106+AF106+AH106</f>
        <v>0</v>
      </c>
      <c r="E106" s="243"/>
      <c r="F106" s="244"/>
      <c r="G106" s="243"/>
      <c r="H106" s="244"/>
      <c r="I106" s="243"/>
      <c r="J106" s="244"/>
      <c r="K106" s="243"/>
      <c r="L106" s="244"/>
      <c r="M106" s="243"/>
      <c r="N106" s="244"/>
      <c r="O106" s="243"/>
      <c r="P106" s="244"/>
      <c r="Q106" s="243"/>
      <c r="R106" s="244"/>
      <c r="S106" s="243"/>
      <c r="T106" s="244"/>
      <c r="U106" s="243"/>
      <c r="V106" s="341"/>
      <c r="W106" s="243"/>
      <c r="X106" s="244"/>
      <c r="Y106" s="243"/>
      <c r="Z106" s="244"/>
      <c r="AA106" s="243"/>
      <c r="AB106" s="244"/>
      <c r="AC106" s="243"/>
      <c r="AD106" s="244"/>
      <c r="AE106" s="243"/>
      <c r="AF106" s="244"/>
      <c r="AG106" s="243"/>
      <c r="AH106" s="244"/>
      <c r="AI106" s="243"/>
    </row>
    <row r="107" spans="2:35" ht="12" hidden="1" thickBot="1">
      <c r="B107" s="858" t="s">
        <v>865</v>
      </c>
      <c r="C107" s="243"/>
      <c r="D107" s="245">
        <f>F107+H107+J107+L107+N107+P107+R107+T107+V107+X107+Z107+AB107+AD107+AF107+AH107</f>
        <v>0</v>
      </c>
      <c r="E107" s="243">
        <f>+SUM(D106:D107)</f>
        <v>0</v>
      </c>
      <c r="F107" s="245"/>
      <c r="G107" s="243">
        <f>+SUM(F106:F107)</f>
        <v>0</v>
      </c>
      <c r="H107" s="245"/>
      <c r="I107" s="243">
        <f>+SUM(H106:H107)</f>
        <v>0</v>
      </c>
      <c r="J107" s="245"/>
      <c r="K107" s="243">
        <f>+SUM(J106:J107)</f>
        <v>0</v>
      </c>
      <c r="L107" s="245"/>
      <c r="M107" s="243">
        <f>+SUM(L106:L107)</f>
        <v>0</v>
      </c>
      <c r="N107" s="245"/>
      <c r="O107" s="243">
        <f>+SUM(N106:N107)</f>
        <v>0</v>
      </c>
      <c r="P107" s="245"/>
      <c r="Q107" s="243">
        <f>+SUM(P106:P107)</f>
        <v>0</v>
      </c>
      <c r="R107" s="245"/>
      <c r="S107" s="243">
        <f>+SUM(R106:R107)</f>
        <v>0</v>
      </c>
      <c r="T107" s="245"/>
      <c r="U107" s="243">
        <f>+SUM(T106:T107)</f>
        <v>0</v>
      </c>
      <c r="V107" s="344"/>
      <c r="W107" s="243">
        <f>+SUM(V106:V107)</f>
        <v>0</v>
      </c>
      <c r="X107" s="245"/>
      <c r="Y107" s="243">
        <f>+SUM(X106:X107)</f>
        <v>0</v>
      </c>
      <c r="Z107" s="245"/>
      <c r="AA107" s="243">
        <f>+SUM(Z106:Z107)</f>
        <v>0</v>
      </c>
      <c r="AB107" s="245"/>
      <c r="AC107" s="243">
        <f>+SUM(AB106:AB107)</f>
        <v>0</v>
      </c>
      <c r="AD107" s="245"/>
      <c r="AE107" s="243">
        <f>+SUM(AD106:AD107)</f>
        <v>0</v>
      </c>
      <c r="AF107" s="245"/>
      <c r="AG107" s="243">
        <f>+SUM(AF106:AF107)</f>
        <v>0</v>
      </c>
      <c r="AH107" s="245"/>
      <c r="AI107" s="243">
        <f>+SUM(AH106:AH107)</f>
        <v>0</v>
      </c>
    </row>
    <row r="108" spans="2:35" hidden="1">
      <c r="B108" s="858"/>
      <c r="C108" s="243"/>
      <c r="D108" s="237"/>
      <c r="E108" s="243"/>
      <c r="F108" s="244"/>
      <c r="G108" s="243"/>
      <c r="H108" s="244"/>
      <c r="I108" s="243"/>
      <c r="J108" s="244"/>
      <c r="K108" s="243"/>
      <c r="L108" s="244"/>
      <c r="M108" s="243"/>
      <c r="N108" s="244"/>
      <c r="O108" s="243"/>
      <c r="P108" s="244"/>
      <c r="Q108" s="243"/>
      <c r="R108" s="244"/>
      <c r="S108" s="243"/>
      <c r="T108" s="244"/>
      <c r="U108" s="243"/>
      <c r="V108" s="341"/>
      <c r="W108" s="243"/>
      <c r="X108" s="244"/>
      <c r="Y108" s="243"/>
      <c r="Z108" s="244"/>
      <c r="AA108" s="243"/>
      <c r="AB108" s="244"/>
      <c r="AC108" s="243"/>
      <c r="AD108" s="244"/>
      <c r="AE108" s="243"/>
      <c r="AF108" s="244"/>
      <c r="AG108" s="243"/>
      <c r="AH108" s="244"/>
      <c r="AI108" s="243"/>
    </row>
    <row r="109" spans="2:35" hidden="1">
      <c r="B109" s="860" t="s">
        <v>868</v>
      </c>
      <c r="C109" s="243"/>
      <c r="D109" s="237"/>
      <c r="E109" s="243"/>
      <c r="F109" s="244"/>
      <c r="G109" s="243"/>
      <c r="H109" s="244"/>
      <c r="I109" s="243"/>
      <c r="J109" s="244"/>
      <c r="K109" s="243"/>
      <c r="L109" s="244"/>
      <c r="M109" s="243"/>
      <c r="N109" s="244"/>
      <c r="O109" s="243"/>
      <c r="P109" s="244"/>
      <c r="Q109" s="243"/>
      <c r="R109" s="244"/>
      <c r="S109" s="243"/>
      <c r="T109" s="244"/>
      <c r="U109" s="243"/>
      <c r="V109" s="341"/>
      <c r="W109" s="243"/>
      <c r="X109" s="244"/>
      <c r="Y109" s="243"/>
      <c r="Z109" s="244"/>
      <c r="AA109" s="243"/>
      <c r="AB109" s="244"/>
      <c r="AC109" s="243"/>
      <c r="AD109" s="244"/>
      <c r="AE109" s="243"/>
      <c r="AF109" s="244"/>
      <c r="AG109" s="243"/>
      <c r="AH109" s="244"/>
      <c r="AI109" s="243"/>
    </row>
    <row r="110" spans="2:35" hidden="1">
      <c r="B110" s="858" t="s">
        <v>864</v>
      </c>
      <c r="C110" s="243"/>
      <c r="D110" s="237">
        <f>F110+H110+J110+L110+N110+P110+R110+T110+V110+X110+Z110+AB110+AD110+AF110+AH110</f>
        <v>0</v>
      </c>
      <c r="E110" s="243"/>
      <c r="F110" s="244"/>
      <c r="G110" s="243"/>
      <c r="H110" s="244"/>
      <c r="I110" s="243"/>
      <c r="J110" s="244"/>
      <c r="K110" s="243"/>
      <c r="L110" s="244"/>
      <c r="M110" s="243"/>
      <c r="N110" s="244"/>
      <c r="O110" s="243"/>
      <c r="P110" s="244"/>
      <c r="Q110" s="243"/>
      <c r="R110" s="244"/>
      <c r="S110" s="243"/>
      <c r="T110" s="244"/>
      <c r="U110" s="243"/>
      <c r="V110" s="341"/>
      <c r="W110" s="243"/>
      <c r="X110" s="244"/>
      <c r="Y110" s="243"/>
      <c r="Z110" s="244"/>
      <c r="AA110" s="243"/>
      <c r="AB110" s="244"/>
      <c r="AC110" s="243"/>
      <c r="AD110" s="244"/>
      <c r="AE110" s="243"/>
      <c r="AF110" s="244"/>
      <c r="AG110" s="243"/>
      <c r="AH110" s="244"/>
      <c r="AI110" s="243"/>
    </row>
    <row r="111" spans="2:35" ht="12" hidden="1" thickBot="1">
      <c r="B111" s="858" t="s">
        <v>865</v>
      </c>
      <c r="C111" s="243"/>
      <c r="D111" s="245">
        <f>F111+H111+J111+L111+N111+P111+R111+T111+V111+X111+Z111+AB111+AD111+AF111+AH111</f>
        <v>0</v>
      </c>
      <c r="E111" s="243">
        <f>+SUM(D110:D111)</f>
        <v>0</v>
      </c>
      <c r="F111" s="245"/>
      <c r="G111" s="243">
        <f>+SUM(F110:F111)</f>
        <v>0</v>
      </c>
      <c r="H111" s="245"/>
      <c r="I111" s="243">
        <f>+SUM(H110:H111)</f>
        <v>0</v>
      </c>
      <c r="J111" s="245"/>
      <c r="K111" s="243">
        <f>+SUM(J110:J111)</f>
        <v>0</v>
      </c>
      <c r="L111" s="245"/>
      <c r="M111" s="243">
        <f>+SUM(L110:L111)</f>
        <v>0</v>
      </c>
      <c r="N111" s="245"/>
      <c r="O111" s="243">
        <f>+SUM(N110:N111)</f>
        <v>0</v>
      </c>
      <c r="P111" s="245"/>
      <c r="Q111" s="243">
        <f>+SUM(P110:P111)</f>
        <v>0</v>
      </c>
      <c r="R111" s="245"/>
      <c r="S111" s="243">
        <f>+SUM(R110:R111)</f>
        <v>0</v>
      </c>
      <c r="T111" s="245"/>
      <c r="U111" s="243">
        <f>+SUM(T110:T111)</f>
        <v>0</v>
      </c>
      <c r="V111" s="344"/>
      <c r="W111" s="243">
        <f>+SUM(V110:V111)</f>
        <v>0</v>
      </c>
      <c r="X111" s="245"/>
      <c r="Y111" s="243">
        <f>+SUM(X110:X111)</f>
        <v>0</v>
      </c>
      <c r="Z111" s="245"/>
      <c r="AA111" s="243">
        <f>+SUM(Z110:Z111)</f>
        <v>0</v>
      </c>
      <c r="AB111" s="245"/>
      <c r="AC111" s="243">
        <f>+SUM(AB110:AB111)</f>
        <v>0</v>
      </c>
      <c r="AD111" s="245"/>
      <c r="AE111" s="243">
        <f>+SUM(AD110:AD111)</f>
        <v>0</v>
      </c>
      <c r="AF111" s="245"/>
      <c r="AG111" s="243">
        <f>+SUM(AF110:AF111)</f>
        <v>0</v>
      </c>
      <c r="AH111" s="245">
        <v>0</v>
      </c>
      <c r="AI111" s="243">
        <f>+SUM(AH110:AH111)</f>
        <v>0</v>
      </c>
    </row>
    <row r="112" spans="2:35" hidden="1">
      <c r="B112" s="859"/>
      <c r="C112" s="243"/>
      <c r="D112" s="237"/>
      <c r="E112" s="243"/>
      <c r="F112" s="244"/>
      <c r="G112" s="243"/>
      <c r="H112" s="244"/>
      <c r="I112" s="243"/>
      <c r="J112" s="244"/>
      <c r="K112" s="243"/>
      <c r="L112" s="244"/>
      <c r="M112" s="243"/>
      <c r="N112" s="244"/>
      <c r="O112" s="243"/>
      <c r="P112" s="244"/>
      <c r="Q112" s="243"/>
      <c r="R112" s="244"/>
      <c r="S112" s="243"/>
      <c r="T112" s="244"/>
      <c r="U112" s="243"/>
      <c r="V112" s="341"/>
      <c r="W112" s="243"/>
      <c r="X112" s="244"/>
      <c r="Y112" s="243"/>
      <c r="Z112" s="244"/>
      <c r="AA112" s="243"/>
      <c r="AB112" s="244"/>
      <c r="AC112" s="243"/>
      <c r="AD112" s="244"/>
      <c r="AE112" s="243"/>
      <c r="AF112" s="244"/>
      <c r="AG112" s="243"/>
      <c r="AH112" s="244"/>
      <c r="AI112" s="243"/>
    </row>
    <row r="113" spans="2:35" ht="25.5" hidden="1" customHeight="1">
      <c r="B113" s="860" t="s">
        <v>869</v>
      </c>
      <c r="C113" s="243"/>
      <c r="D113" s="237"/>
      <c r="E113" s="243"/>
      <c r="F113" s="244"/>
      <c r="G113" s="243"/>
      <c r="H113" s="244"/>
      <c r="I113" s="243"/>
      <c r="J113" s="244"/>
      <c r="K113" s="243"/>
      <c r="L113" s="244"/>
      <c r="M113" s="243"/>
      <c r="N113" s="244"/>
      <c r="O113" s="243"/>
      <c r="P113" s="244"/>
      <c r="Q113" s="243"/>
      <c r="R113" s="244"/>
      <c r="S113" s="243"/>
      <c r="T113" s="244"/>
      <c r="U113" s="243"/>
      <c r="V113" s="341"/>
      <c r="W113" s="243"/>
      <c r="X113" s="244"/>
      <c r="Y113" s="243"/>
      <c r="Z113" s="244"/>
      <c r="AA113" s="243"/>
      <c r="AB113" s="244"/>
      <c r="AC113" s="243"/>
      <c r="AD113" s="244"/>
      <c r="AE113" s="243"/>
      <c r="AF113" s="244"/>
      <c r="AG113" s="243"/>
      <c r="AH113" s="244"/>
      <c r="AI113" s="243"/>
    </row>
    <row r="114" spans="2:35" hidden="1">
      <c r="B114" s="858" t="s">
        <v>864</v>
      </c>
      <c r="C114" s="243"/>
      <c r="D114" s="237">
        <f>F114+H114+J114+L114+N114+P114+R114+T114+V114+X114+Z114+AB114+AD114+AF114+AH114</f>
        <v>0</v>
      </c>
      <c r="E114" s="243"/>
      <c r="F114" s="244"/>
      <c r="G114" s="243"/>
      <c r="H114" s="244"/>
      <c r="I114" s="243"/>
      <c r="J114" s="244"/>
      <c r="K114" s="243"/>
      <c r="L114" s="244"/>
      <c r="M114" s="243"/>
      <c r="N114" s="244"/>
      <c r="O114" s="243"/>
      <c r="P114" s="244"/>
      <c r="Q114" s="243"/>
      <c r="R114" s="244"/>
      <c r="S114" s="243"/>
      <c r="T114" s="244"/>
      <c r="U114" s="243"/>
      <c r="V114" s="341"/>
      <c r="W114" s="243"/>
      <c r="X114" s="244"/>
      <c r="Y114" s="243"/>
      <c r="Z114" s="244"/>
      <c r="AA114" s="243"/>
      <c r="AB114" s="244"/>
      <c r="AC114" s="243"/>
      <c r="AD114" s="244"/>
      <c r="AE114" s="243"/>
      <c r="AF114" s="244"/>
      <c r="AG114" s="243"/>
      <c r="AH114" s="244"/>
      <c r="AI114" s="243"/>
    </row>
    <row r="115" spans="2:35" ht="12" hidden="1" thickBot="1">
      <c r="B115" s="858" t="s">
        <v>865</v>
      </c>
      <c r="C115" s="243"/>
      <c r="D115" s="245">
        <f>F115+H115+J115+L115+N115+P115+R115+T115+V115+X115+Z115+AB115+AD115+AF115+AH115</f>
        <v>0</v>
      </c>
      <c r="E115" s="243">
        <f>+SUM(D114:D115)</f>
        <v>0</v>
      </c>
      <c r="F115" s="245"/>
      <c r="G115" s="243">
        <f>+SUM(F114:F115)</f>
        <v>0</v>
      </c>
      <c r="H115" s="245"/>
      <c r="I115" s="243">
        <f>+SUM(H114:H115)</f>
        <v>0</v>
      </c>
      <c r="J115" s="245"/>
      <c r="K115" s="243">
        <f>+SUM(J114:J115)</f>
        <v>0</v>
      </c>
      <c r="L115" s="245"/>
      <c r="M115" s="243">
        <f>+SUM(L114:L115)</f>
        <v>0</v>
      </c>
      <c r="N115" s="245"/>
      <c r="O115" s="243">
        <f>+SUM(N114:N115)</f>
        <v>0</v>
      </c>
      <c r="P115" s="245"/>
      <c r="Q115" s="243">
        <f>+SUM(P114:P115)</f>
        <v>0</v>
      </c>
      <c r="R115" s="245"/>
      <c r="S115" s="243">
        <f>+SUM(R114:R115)</f>
        <v>0</v>
      </c>
      <c r="T115" s="245"/>
      <c r="U115" s="243">
        <f>+SUM(T114:T115)</f>
        <v>0</v>
      </c>
      <c r="V115" s="344"/>
      <c r="W115" s="243">
        <f>+SUM(V114:V115)</f>
        <v>0</v>
      </c>
      <c r="X115" s="245"/>
      <c r="Y115" s="243">
        <f>+SUM(X114:X115)</f>
        <v>0</v>
      </c>
      <c r="Z115" s="245"/>
      <c r="AA115" s="243">
        <f>+SUM(Z114:Z115)</f>
        <v>0</v>
      </c>
      <c r="AB115" s="245"/>
      <c r="AC115" s="243">
        <f>+SUM(AB114:AB115)</f>
        <v>0</v>
      </c>
      <c r="AD115" s="245"/>
      <c r="AE115" s="243">
        <f>+SUM(AD114:AD115)</f>
        <v>0</v>
      </c>
      <c r="AF115" s="245"/>
      <c r="AG115" s="243">
        <f>+SUM(AF114:AF115)</f>
        <v>0</v>
      </c>
      <c r="AH115" s="245"/>
      <c r="AI115" s="243">
        <f>+SUM(AH114:AH115)</f>
        <v>0</v>
      </c>
    </row>
    <row r="116" spans="2:35" hidden="1">
      <c r="B116" s="859"/>
      <c r="C116" s="243"/>
      <c r="D116" s="237"/>
      <c r="E116" s="243"/>
      <c r="F116" s="244"/>
      <c r="G116" s="243"/>
      <c r="H116" s="244"/>
      <c r="I116" s="243"/>
      <c r="J116" s="244"/>
      <c r="K116" s="243"/>
      <c r="L116" s="244"/>
      <c r="M116" s="243"/>
      <c r="N116" s="244"/>
      <c r="O116" s="243"/>
      <c r="P116" s="244"/>
      <c r="Q116" s="243"/>
      <c r="R116" s="244"/>
      <c r="S116" s="243"/>
      <c r="T116" s="244"/>
      <c r="U116" s="243"/>
      <c r="V116" s="341"/>
      <c r="W116" s="243"/>
      <c r="X116" s="244"/>
      <c r="Y116" s="243"/>
      <c r="Z116" s="244"/>
      <c r="AA116" s="243"/>
      <c r="AB116" s="244"/>
      <c r="AC116" s="243"/>
      <c r="AD116" s="244"/>
      <c r="AE116" s="243"/>
      <c r="AF116" s="244"/>
      <c r="AG116" s="243"/>
      <c r="AH116" s="244"/>
      <c r="AI116" s="243"/>
    </row>
    <row r="117" spans="2:35" hidden="1">
      <c r="B117" s="860" t="s">
        <v>870</v>
      </c>
      <c r="C117" s="243"/>
      <c r="D117" s="237"/>
      <c r="E117" s="243"/>
      <c r="F117" s="244"/>
      <c r="G117" s="243"/>
      <c r="H117" s="244"/>
      <c r="I117" s="243"/>
      <c r="J117" s="244"/>
      <c r="K117" s="243"/>
      <c r="L117" s="244"/>
      <c r="M117" s="243"/>
      <c r="N117" s="244"/>
      <c r="O117" s="243"/>
      <c r="P117" s="244"/>
      <c r="Q117" s="243"/>
      <c r="R117" s="244"/>
      <c r="S117" s="243"/>
      <c r="T117" s="244"/>
      <c r="U117" s="243"/>
      <c r="V117" s="341"/>
      <c r="W117" s="243"/>
      <c r="X117" s="244"/>
      <c r="Y117" s="243"/>
      <c r="Z117" s="244"/>
      <c r="AA117" s="243"/>
      <c r="AB117" s="244"/>
      <c r="AC117" s="243"/>
      <c r="AD117" s="244"/>
      <c r="AE117" s="243"/>
      <c r="AF117" s="244"/>
      <c r="AG117" s="243"/>
      <c r="AH117" s="244"/>
      <c r="AI117" s="243"/>
    </row>
    <row r="118" spans="2:35" hidden="1">
      <c r="B118" s="858" t="s">
        <v>864</v>
      </c>
      <c r="C118" s="243"/>
      <c r="D118" s="237">
        <f>F118+H118+J118+L118+N118+P118+R118+T118+V118+X118+Z118+AB118+AD118+AF118+AH118</f>
        <v>0</v>
      </c>
      <c r="E118" s="243"/>
      <c r="F118" s="244"/>
      <c r="G118" s="243"/>
      <c r="H118" s="244"/>
      <c r="I118" s="243"/>
      <c r="J118" s="244"/>
      <c r="K118" s="243"/>
      <c r="L118" s="244"/>
      <c r="M118" s="243"/>
      <c r="N118" s="244"/>
      <c r="O118" s="243"/>
      <c r="P118" s="244"/>
      <c r="Q118" s="243"/>
      <c r="R118" s="244"/>
      <c r="S118" s="243"/>
      <c r="T118" s="244"/>
      <c r="U118" s="243"/>
      <c r="V118" s="341"/>
      <c r="W118" s="243"/>
      <c r="X118" s="244"/>
      <c r="Y118" s="243"/>
      <c r="Z118" s="244"/>
      <c r="AA118" s="243"/>
      <c r="AB118" s="244"/>
      <c r="AC118" s="243"/>
      <c r="AD118" s="244"/>
      <c r="AE118" s="243"/>
      <c r="AF118" s="244"/>
      <c r="AG118" s="243"/>
      <c r="AH118" s="244"/>
      <c r="AI118" s="243"/>
    </row>
    <row r="119" spans="2:35" ht="12" hidden="1" thickBot="1">
      <c r="B119" s="858" t="s">
        <v>865</v>
      </c>
      <c r="C119" s="243"/>
      <c r="D119" s="245">
        <f>F119+H119+J119+L119+N119+P119+R119+T119+V119+X119+Z119+AB119+AD119+AF119+AH119</f>
        <v>0</v>
      </c>
      <c r="E119" s="243">
        <f>+SUM(D118:D119)</f>
        <v>0</v>
      </c>
      <c r="F119" s="245"/>
      <c r="G119" s="243">
        <f>+SUM(F118:F119)</f>
        <v>0</v>
      </c>
      <c r="H119" s="245"/>
      <c r="I119" s="243">
        <f>+SUM(H118:H119)</f>
        <v>0</v>
      </c>
      <c r="J119" s="245"/>
      <c r="K119" s="243">
        <f>+SUM(J118:J119)</f>
        <v>0</v>
      </c>
      <c r="L119" s="245"/>
      <c r="M119" s="243">
        <f>+SUM(L118:L119)</f>
        <v>0</v>
      </c>
      <c r="N119" s="245"/>
      <c r="O119" s="243">
        <f>+SUM(N118:N119)</f>
        <v>0</v>
      </c>
      <c r="P119" s="245"/>
      <c r="Q119" s="243">
        <f>+SUM(P118:P119)</f>
        <v>0</v>
      </c>
      <c r="R119" s="245"/>
      <c r="S119" s="243">
        <f>+SUM(R118:R119)</f>
        <v>0</v>
      </c>
      <c r="T119" s="245"/>
      <c r="U119" s="243">
        <f>+SUM(T118:T119)</f>
        <v>0</v>
      </c>
      <c r="V119" s="344"/>
      <c r="W119" s="243">
        <f>+SUM(V118:V119)</f>
        <v>0</v>
      </c>
      <c r="X119" s="245"/>
      <c r="Y119" s="243">
        <f>+SUM(X118:X119)</f>
        <v>0</v>
      </c>
      <c r="Z119" s="245"/>
      <c r="AA119" s="243">
        <f>+SUM(Z118:Z119)</f>
        <v>0</v>
      </c>
      <c r="AB119" s="245"/>
      <c r="AC119" s="243">
        <f>+SUM(AB118:AB119)</f>
        <v>0</v>
      </c>
      <c r="AD119" s="245"/>
      <c r="AE119" s="243">
        <f>+SUM(AD118:AD119)</f>
        <v>0</v>
      </c>
      <c r="AF119" s="245"/>
      <c r="AG119" s="243">
        <f>+SUM(AF118:AF119)</f>
        <v>0</v>
      </c>
      <c r="AH119" s="245"/>
      <c r="AI119" s="243">
        <f>+SUM(AH118:AH119)</f>
        <v>0</v>
      </c>
    </row>
    <row r="120" spans="2:35" hidden="1">
      <c r="B120" s="859"/>
      <c r="C120" s="243"/>
      <c r="D120" s="237"/>
      <c r="E120" s="243"/>
      <c r="F120" s="244"/>
      <c r="G120" s="243"/>
      <c r="H120" s="244"/>
      <c r="I120" s="243"/>
      <c r="J120" s="244"/>
      <c r="K120" s="243"/>
      <c r="L120" s="244"/>
      <c r="M120" s="243"/>
      <c r="N120" s="244"/>
      <c r="O120" s="243"/>
      <c r="P120" s="244"/>
      <c r="Q120" s="243"/>
      <c r="R120" s="244"/>
      <c r="S120" s="243"/>
      <c r="T120" s="244"/>
      <c r="U120" s="243"/>
      <c r="V120" s="341"/>
      <c r="W120" s="243"/>
      <c r="X120" s="244"/>
      <c r="Y120" s="243"/>
      <c r="Z120" s="244"/>
      <c r="AA120" s="243"/>
      <c r="AB120" s="244"/>
      <c r="AC120" s="243"/>
      <c r="AD120" s="244"/>
      <c r="AE120" s="243"/>
      <c r="AF120" s="244"/>
      <c r="AG120" s="243"/>
      <c r="AH120" s="244"/>
      <c r="AI120" s="243"/>
    </row>
    <row r="121" spans="2:35" hidden="1">
      <c r="B121" s="861" t="s">
        <v>859</v>
      </c>
      <c r="C121" s="243"/>
      <c r="D121" s="237"/>
      <c r="E121" s="243"/>
      <c r="F121" s="244"/>
      <c r="G121" s="243"/>
      <c r="H121" s="244"/>
      <c r="I121" s="243"/>
      <c r="J121" s="244"/>
      <c r="K121" s="243"/>
      <c r="L121" s="244"/>
      <c r="M121" s="243"/>
      <c r="N121" s="244"/>
      <c r="O121" s="243"/>
      <c r="P121" s="244"/>
      <c r="Q121" s="243"/>
      <c r="R121" s="244"/>
      <c r="S121" s="243"/>
      <c r="T121" s="244"/>
      <c r="U121" s="243"/>
      <c r="V121" s="341"/>
      <c r="W121" s="243"/>
      <c r="X121" s="244"/>
      <c r="Y121" s="243"/>
      <c r="Z121" s="244"/>
      <c r="AA121" s="243"/>
      <c r="AB121" s="244"/>
      <c r="AC121" s="243"/>
      <c r="AD121" s="244"/>
      <c r="AE121" s="243"/>
      <c r="AF121" s="244"/>
      <c r="AG121" s="243"/>
      <c r="AH121" s="244"/>
      <c r="AI121" s="243"/>
    </row>
    <row r="122" spans="2:35" hidden="1">
      <c r="B122" s="858" t="s">
        <v>864</v>
      </c>
      <c r="C122" s="243"/>
      <c r="D122" s="237">
        <f>+D98+D102+D106+D110+D114+D118</f>
        <v>0</v>
      </c>
      <c r="E122" s="243"/>
      <c r="F122" s="237">
        <f>+F98+F102+F106+F110+F114+F118</f>
        <v>0</v>
      </c>
      <c r="G122" s="243"/>
      <c r="H122" s="237">
        <f>+H98+H102+H106+H110+H114+H118</f>
        <v>0</v>
      </c>
      <c r="I122" s="243"/>
      <c r="J122" s="237">
        <f>+J98+J102+J106+J110+J114+J118</f>
        <v>0</v>
      </c>
      <c r="K122" s="243"/>
      <c r="L122" s="237">
        <f>+L98+L102+L106+L110+L114+L118</f>
        <v>0</v>
      </c>
      <c r="M122" s="243"/>
      <c r="N122" s="237">
        <f>+N98+N102+N106+N110+N114+N118</f>
        <v>0</v>
      </c>
      <c r="O122" s="243"/>
      <c r="P122" s="237">
        <f>+P98+P102+P106+P110+P114+P118</f>
        <v>0</v>
      </c>
      <c r="Q122" s="243"/>
      <c r="R122" s="237">
        <f>+R98+R102+R106+R110+R114+R118</f>
        <v>0</v>
      </c>
      <c r="S122" s="243"/>
      <c r="T122" s="237">
        <f>+T98+T102+T106+T110+T114+T118</f>
        <v>0</v>
      </c>
      <c r="U122" s="243"/>
      <c r="V122" s="348">
        <f>+V98+V102+V106+V110+V114+V118</f>
        <v>0</v>
      </c>
      <c r="W122" s="243"/>
      <c r="X122" s="237">
        <f>+X98+X102+X106+X110+X114+X118</f>
        <v>0</v>
      </c>
      <c r="Y122" s="243"/>
      <c r="Z122" s="237">
        <f>+Z98+Z102+Z106+Z110+Z114+Z118</f>
        <v>0</v>
      </c>
      <c r="AA122" s="243"/>
      <c r="AB122" s="237">
        <f>+AB98+AB102+AB106+AB110+AB114+AB118</f>
        <v>0</v>
      </c>
      <c r="AC122" s="243"/>
      <c r="AD122" s="237">
        <f>+AD98+AD102+AD106+AD110+AD114+AD118</f>
        <v>0</v>
      </c>
      <c r="AE122" s="243"/>
      <c r="AF122" s="237">
        <f>+AF98+AF102+AF106+AF110+AF114+AF118</f>
        <v>0</v>
      </c>
      <c r="AG122" s="243"/>
      <c r="AH122" s="237">
        <f>+AH98+AH102+AH106+AH110+AH114+AH118</f>
        <v>0</v>
      </c>
      <c r="AI122" s="243"/>
    </row>
    <row r="123" spans="2:35" ht="12" hidden="1" thickBot="1">
      <c r="B123" s="858" t="s">
        <v>865</v>
      </c>
      <c r="C123" s="243"/>
      <c r="D123" s="237">
        <f>+D99+D103+D107+D111+D115+D119</f>
        <v>0</v>
      </c>
      <c r="E123" s="243">
        <f>+D122+D123</f>
        <v>0</v>
      </c>
      <c r="F123" s="237">
        <f>+F99+F103+F107+F111+F115+F119</f>
        <v>0</v>
      </c>
      <c r="G123" s="243">
        <f>+F122+F123</f>
        <v>0</v>
      </c>
      <c r="H123" s="237">
        <f>+H99+H103+H107+H111+H115+H119</f>
        <v>0</v>
      </c>
      <c r="I123" s="243">
        <f>+H122+H123</f>
        <v>0</v>
      </c>
      <c r="J123" s="237">
        <f>+J99+J103+J107+J111+J115+J119</f>
        <v>0</v>
      </c>
      <c r="K123" s="243">
        <f>+J122+J123</f>
        <v>0</v>
      </c>
      <c r="L123" s="237">
        <f>+L99+L103+L107+L111+L115+L119</f>
        <v>0</v>
      </c>
      <c r="M123" s="243">
        <f>+L122+L123</f>
        <v>0</v>
      </c>
      <c r="N123" s="237">
        <f>+N99+N103+N107+N111+N115+N119</f>
        <v>0</v>
      </c>
      <c r="O123" s="243">
        <f>+N122+N123</f>
        <v>0</v>
      </c>
      <c r="P123" s="237">
        <f>+P99+P103+P107+P111+P115+P119</f>
        <v>0</v>
      </c>
      <c r="Q123" s="243">
        <f>+P122+P123</f>
        <v>0</v>
      </c>
      <c r="R123" s="237">
        <f>+R99+R103+R107+R111+R115+R119</f>
        <v>0</v>
      </c>
      <c r="S123" s="243">
        <f>+R122+R123</f>
        <v>0</v>
      </c>
      <c r="T123" s="237">
        <f>+T99+T103+T107+T111+T115+T119</f>
        <v>0</v>
      </c>
      <c r="U123" s="243">
        <f>+T122+T123</f>
        <v>0</v>
      </c>
      <c r="V123" s="348">
        <f>+V99+V103+V107+V111+V115+V119</f>
        <v>0</v>
      </c>
      <c r="W123" s="243">
        <f>+V122+V123</f>
        <v>0</v>
      </c>
      <c r="X123" s="237">
        <f>+X99+X103+X107+X111+X115+X119</f>
        <v>0</v>
      </c>
      <c r="Y123" s="243">
        <f>+X122+X123</f>
        <v>0</v>
      </c>
      <c r="Z123" s="237">
        <f>+Z99+Z103+Z107+Z111+Z115+Z119</f>
        <v>0</v>
      </c>
      <c r="AA123" s="243">
        <f>+Z122+Z123</f>
        <v>0</v>
      </c>
      <c r="AB123" s="237">
        <f>+AB99+AB103+AB107+AB111+AB115+AB119</f>
        <v>0</v>
      </c>
      <c r="AC123" s="243">
        <f>+AB122+AB123</f>
        <v>0</v>
      </c>
      <c r="AD123" s="237">
        <f>+AD99+AD103+AD107+AD111+AD115+AD119</f>
        <v>0</v>
      </c>
      <c r="AE123" s="243">
        <f>+AD122+AD123</f>
        <v>0</v>
      </c>
      <c r="AF123" s="237">
        <f>+AF99+AF103+AF107+AF111+AF115+AF119</f>
        <v>0</v>
      </c>
      <c r="AG123" s="243">
        <f>+AF122+AF123</f>
        <v>0</v>
      </c>
      <c r="AH123" s="237">
        <f>+AH99+AH103+AH107+AH111+AH115+AH119</f>
        <v>0</v>
      </c>
      <c r="AI123" s="243">
        <f>+AH122+AH123</f>
        <v>0</v>
      </c>
    </row>
    <row r="124" spans="2:35" ht="12" hidden="1" thickBot="1">
      <c r="B124" s="862" t="s">
        <v>860</v>
      </c>
      <c r="C124" s="247"/>
      <c r="D124" s="339"/>
      <c r="E124" s="274">
        <f>+E123</f>
        <v>0</v>
      </c>
      <c r="F124" s="339"/>
      <c r="G124" s="274">
        <f>+G123</f>
        <v>0</v>
      </c>
      <c r="H124" s="339"/>
      <c r="I124" s="274">
        <f>+I123</f>
        <v>0</v>
      </c>
      <c r="J124" s="339"/>
      <c r="K124" s="274">
        <f>+K123</f>
        <v>0</v>
      </c>
      <c r="L124" s="339"/>
      <c r="M124" s="274">
        <f>+M123</f>
        <v>0</v>
      </c>
      <c r="N124" s="339"/>
      <c r="O124" s="274">
        <f>+O123</f>
        <v>0</v>
      </c>
      <c r="P124" s="339"/>
      <c r="Q124" s="274">
        <f>+Q123</f>
        <v>0</v>
      </c>
      <c r="R124" s="339"/>
      <c r="S124" s="274">
        <f>+S123</f>
        <v>0</v>
      </c>
      <c r="T124" s="339"/>
      <c r="U124" s="274">
        <f>+U123</f>
        <v>0</v>
      </c>
      <c r="V124" s="350"/>
      <c r="W124" s="274">
        <f>+W123</f>
        <v>0</v>
      </c>
      <c r="X124" s="339"/>
      <c r="Y124" s="274">
        <f>+Y123</f>
        <v>0</v>
      </c>
      <c r="Z124" s="339"/>
      <c r="AA124" s="274">
        <f>+AA123</f>
        <v>0</v>
      </c>
      <c r="AB124" s="339"/>
      <c r="AC124" s="274">
        <f>+AC123</f>
        <v>0</v>
      </c>
      <c r="AD124" s="339"/>
      <c r="AE124" s="274">
        <f>+AE123</f>
        <v>0</v>
      </c>
      <c r="AF124" s="339"/>
      <c r="AG124" s="274">
        <f>+AG123</f>
        <v>0</v>
      </c>
      <c r="AH124" s="339"/>
      <c r="AI124" s="274">
        <f>+AI123</f>
        <v>0</v>
      </c>
    </row>
    <row r="125" spans="2:35" hidden="1"/>
    <row r="126" spans="2:35" hidden="1">
      <c r="B126" s="318" t="s">
        <v>871</v>
      </c>
    </row>
    <row r="127" spans="2:35" hidden="1"/>
    <row r="128" spans="2:35" ht="25.5" hidden="1" customHeight="1">
      <c r="B128" s="1475" t="s">
        <v>872</v>
      </c>
      <c r="C128" s="1475"/>
      <c r="D128" s="1475"/>
      <c r="E128" s="1475"/>
      <c r="F128" s="1475"/>
      <c r="G128" s="1475"/>
    </row>
    <row r="129" spans="2:35" hidden="1"/>
    <row r="130" spans="2:35" hidden="1">
      <c r="B130" s="1477" t="s">
        <v>873</v>
      </c>
      <c r="C130" s="1477"/>
      <c r="D130" s="1477"/>
      <c r="E130" s="1477"/>
      <c r="F130" s="1477"/>
      <c r="G130" s="1477"/>
    </row>
    <row r="131" spans="2:35" hidden="1"/>
    <row r="132" spans="2:35" hidden="1">
      <c r="B132" s="1477" t="s">
        <v>874</v>
      </c>
      <c r="C132" s="1477"/>
      <c r="D132" s="1477"/>
      <c r="E132" s="1477"/>
      <c r="F132" s="1477"/>
      <c r="G132" s="1477"/>
    </row>
    <row r="134" spans="2:35">
      <c r="B134" s="335" t="s">
        <v>715</v>
      </c>
    </row>
    <row r="135" spans="2:35" ht="12" thickBot="1">
      <c r="G135" s="335" t="s">
        <v>247</v>
      </c>
    </row>
    <row r="136" spans="2:35" ht="12" customHeight="1" thickBot="1">
      <c r="B136" s="249"/>
      <c r="C136" s="251"/>
      <c r="D136" s="1463" t="s">
        <v>860</v>
      </c>
      <c r="E136" s="1464"/>
      <c r="F136" s="1463" t="s">
        <v>17</v>
      </c>
      <c r="G136" s="1464"/>
      <c r="H136" s="1463" t="s">
        <v>18</v>
      </c>
      <c r="I136" s="1464"/>
      <c r="J136" s="1463" t="s">
        <v>19</v>
      </c>
      <c r="K136" s="1464"/>
      <c r="L136" s="1463" t="s">
        <v>20</v>
      </c>
      <c r="M136" s="1464"/>
      <c r="N136" s="1463" t="s">
        <v>21</v>
      </c>
      <c r="O136" s="1464"/>
      <c r="P136" s="1463" t="s">
        <v>22</v>
      </c>
      <c r="Q136" s="1464"/>
      <c r="R136" s="1463" t="s">
        <v>23</v>
      </c>
      <c r="S136" s="1464"/>
      <c r="T136" s="1463" t="s">
        <v>24</v>
      </c>
      <c r="U136" s="1464"/>
      <c r="V136" s="1463" t="s">
        <v>25</v>
      </c>
      <c r="W136" s="1464"/>
      <c r="X136" s="1463" t="s">
        <v>26</v>
      </c>
      <c r="Y136" s="1464"/>
      <c r="Z136" s="1463" t="s">
        <v>27</v>
      </c>
      <c r="AA136" s="1464"/>
      <c r="AB136" s="1463"/>
      <c r="AC136" s="1464"/>
      <c r="AD136" s="1463" t="s">
        <v>1266</v>
      </c>
      <c r="AE136" s="1464"/>
      <c r="AF136" s="1463" t="s">
        <v>30</v>
      </c>
      <c r="AG136" s="1464"/>
      <c r="AH136" s="1463" t="s">
        <v>31</v>
      </c>
      <c r="AI136" s="1464"/>
    </row>
    <row r="137" spans="2:35">
      <c r="B137" s="327" t="s">
        <v>876</v>
      </c>
      <c r="C137" s="244"/>
      <c r="D137" s="351"/>
      <c r="E137" s="352"/>
      <c r="F137" s="351"/>
      <c r="G137" s="352"/>
      <c r="H137" s="351"/>
      <c r="I137" s="352"/>
      <c r="J137" s="351"/>
      <c r="K137" s="352"/>
      <c r="L137" s="351"/>
      <c r="M137" s="352"/>
      <c r="N137" s="351"/>
      <c r="O137" s="352"/>
      <c r="P137" s="351"/>
      <c r="Q137" s="352"/>
      <c r="R137" s="351"/>
      <c r="S137" s="352"/>
      <c r="T137" s="351"/>
      <c r="U137" s="352"/>
      <c r="V137" s="353"/>
      <c r="W137" s="352"/>
      <c r="X137" s="351"/>
      <c r="Y137" s="352"/>
      <c r="Z137" s="351"/>
      <c r="AA137" s="352"/>
      <c r="AB137" s="351"/>
      <c r="AC137" s="352"/>
      <c r="AD137" s="351"/>
      <c r="AE137" s="352"/>
      <c r="AF137" s="351"/>
      <c r="AG137" s="352"/>
      <c r="AH137" s="351"/>
      <c r="AI137" s="352"/>
    </row>
    <row r="138" spans="2:35">
      <c r="B138" s="327" t="s">
        <v>877</v>
      </c>
      <c r="C138" s="244"/>
      <c r="D138" s="237">
        <f>F138+H138+J138+L138+N138+P138+R138+T138+V138+X138+Z138+AB138+AD138+AF138+AH138</f>
        <v>119870090</v>
      </c>
      <c r="E138" s="352"/>
      <c r="F138" s="327"/>
      <c r="G138" s="352"/>
      <c r="H138" s="327"/>
      <c r="I138" s="352"/>
      <c r="J138" s="327"/>
      <c r="K138" s="352"/>
      <c r="L138" s="327"/>
      <c r="M138" s="352"/>
      <c r="N138" s="327"/>
      <c r="O138" s="352"/>
      <c r="P138" s="354"/>
      <c r="Q138" s="352"/>
      <c r="R138" s="327"/>
      <c r="S138" s="352"/>
      <c r="T138" s="354"/>
      <c r="U138" s="352"/>
      <c r="V138" s="354"/>
      <c r="W138" s="352"/>
      <c r="X138" s="327"/>
      <c r="Y138" s="352"/>
      <c r="Z138" s="354">
        <v>119870090</v>
      </c>
      <c r="AA138" s="352"/>
      <c r="AB138" s="327"/>
      <c r="AC138" s="352"/>
      <c r="AD138" s="327"/>
      <c r="AE138" s="352"/>
      <c r="AF138" s="354"/>
      <c r="AG138" s="352"/>
      <c r="AH138" s="327"/>
      <c r="AI138" s="352"/>
    </row>
    <row r="139" spans="2:35" ht="12" thickBot="1">
      <c r="B139" s="327" t="s">
        <v>878</v>
      </c>
      <c r="C139" s="244"/>
      <c r="D139" s="245">
        <f>F139+H139+J139+L139+N139+P139+R139+T139+V139+X139+Z139+AB139+AD139+AF139+AH139</f>
        <v>0</v>
      </c>
      <c r="E139" s="233">
        <f>+SUM(D138:D139)</f>
        <v>119870090</v>
      </c>
      <c r="F139" s="235"/>
      <c r="G139" s="233">
        <f>+SUM(F138:F139)</f>
        <v>0</v>
      </c>
      <c r="H139" s="235"/>
      <c r="I139" s="233">
        <f>+SUM(H138:H139)</f>
        <v>0</v>
      </c>
      <c r="J139" s="235"/>
      <c r="K139" s="233">
        <f>+SUM(J138:J139)</f>
        <v>0</v>
      </c>
      <c r="L139" s="235"/>
      <c r="M139" s="233">
        <f>+SUM(L138:L139)</f>
        <v>0</v>
      </c>
      <c r="N139" s="235"/>
      <c r="O139" s="233">
        <f>+SUM(N138:N139)</f>
        <v>0</v>
      </c>
      <c r="P139" s="235"/>
      <c r="Q139" s="233">
        <f>+SUM(P138:P139)</f>
        <v>0</v>
      </c>
      <c r="R139" s="235"/>
      <c r="S139" s="233">
        <f>+SUM(R138:R139)</f>
        <v>0</v>
      </c>
      <c r="T139" s="235"/>
      <c r="U139" s="233">
        <f>+SUM(T138:T139)</f>
        <v>0</v>
      </c>
      <c r="V139" s="355"/>
      <c r="W139" s="233">
        <f>+SUM(V138:V139)</f>
        <v>0</v>
      </c>
      <c r="X139" s="235"/>
      <c r="Y139" s="233">
        <f>+SUM(X138:X139)</f>
        <v>0</v>
      </c>
      <c r="Z139" s="235"/>
      <c r="AA139" s="233">
        <f>+SUM(Z138:Z139)</f>
        <v>119870090</v>
      </c>
      <c r="AB139" s="235"/>
      <c r="AC139" s="233">
        <f>+SUM(AB138:AB139)</f>
        <v>0</v>
      </c>
      <c r="AD139" s="235"/>
      <c r="AE139" s="233">
        <f>+SUM(AD138:AD139)</f>
        <v>0</v>
      </c>
      <c r="AF139" s="235"/>
      <c r="AG139" s="233">
        <f>+SUM(AF138:AF139)</f>
        <v>0</v>
      </c>
      <c r="AH139" s="235"/>
      <c r="AI139" s="233">
        <f>+SUM(AH138:AH139)</f>
        <v>0</v>
      </c>
    </row>
    <row r="140" spans="2:35">
      <c r="B140" s="327" t="s">
        <v>879</v>
      </c>
      <c r="C140" s="244"/>
      <c r="D140" s="327"/>
      <c r="E140" s="233">
        <f>G140+I140+K140+M140+O140+Q140+S140+U140+W140+Y140+AA140+AC140+AE140+AG140+AI140</f>
        <v>0</v>
      </c>
      <c r="F140" s="327"/>
      <c r="G140" s="233"/>
      <c r="H140" s="327"/>
      <c r="I140" s="233"/>
      <c r="J140" s="327"/>
      <c r="K140" s="233"/>
      <c r="L140" s="327"/>
      <c r="M140" s="233"/>
      <c r="N140" s="327"/>
      <c r="O140" s="233"/>
      <c r="P140" s="327"/>
      <c r="Q140" s="233"/>
      <c r="R140" s="327"/>
      <c r="S140" s="233"/>
      <c r="T140" s="327"/>
      <c r="U140" s="233"/>
      <c r="V140" s="354"/>
      <c r="W140" s="233"/>
      <c r="X140" s="327"/>
      <c r="Y140" s="233"/>
      <c r="Z140" s="327"/>
      <c r="AA140" s="233"/>
      <c r="AB140" s="327"/>
      <c r="AC140" s="233"/>
      <c r="AD140" s="327"/>
      <c r="AE140" s="233"/>
      <c r="AF140" s="327"/>
      <c r="AG140" s="233"/>
      <c r="AH140" s="327"/>
      <c r="AI140" s="233"/>
    </row>
    <row r="141" spans="2:35">
      <c r="B141" s="327" t="s">
        <v>151</v>
      </c>
      <c r="C141" s="244"/>
      <c r="D141" s="237">
        <f>F141+H141+J141+L141+N141+P141+R141+T141+V141+X141+Z141+AB141+AD141+AF141+AH141</f>
        <v>68621541</v>
      </c>
      <c r="E141" s="233"/>
      <c r="F141" s="327"/>
      <c r="G141" s="233"/>
      <c r="H141" s="327"/>
      <c r="I141" s="233"/>
      <c r="J141" s="327"/>
      <c r="K141" s="233"/>
      <c r="L141" s="327"/>
      <c r="M141" s="233"/>
      <c r="N141" s="327"/>
      <c r="O141" s="233"/>
      <c r="P141" s="327"/>
      <c r="Q141" s="233"/>
      <c r="R141" s="327"/>
      <c r="S141" s="233"/>
      <c r="T141" s="327"/>
      <c r="U141" s="233"/>
      <c r="V141" s="354"/>
      <c r="W141" s="233"/>
      <c r="X141" s="327"/>
      <c r="Y141" s="233"/>
      <c r="Z141" s="354">
        <v>68621541</v>
      </c>
      <c r="AA141" s="233"/>
      <c r="AB141" s="327"/>
      <c r="AC141" s="233"/>
      <c r="AD141" s="327"/>
      <c r="AE141" s="233"/>
      <c r="AF141" s="327"/>
      <c r="AG141" s="233"/>
      <c r="AH141" s="327"/>
      <c r="AI141" s="233"/>
    </row>
    <row r="142" spans="2:35" ht="12" thickBot="1">
      <c r="B142" s="327" t="s">
        <v>152</v>
      </c>
      <c r="C142" s="244"/>
      <c r="D142" s="245">
        <f>F142+H142+J142+L142+N142+P142+R142+T142+V142+X142+Z142+AB142+AD142+AF142+AH142</f>
        <v>76145228</v>
      </c>
      <c r="E142" s="233">
        <f>+SUM(D141:D142)</f>
        <v>144766769</v>
      </c>
      <c r="F142" s="235"/>
      <c r="G142" s="233">
        <f>+SUM(F141:F142)</f>
        <v>0</v>
      </c>
      <c r="H142" s="235"/>
      <c r="I142" s="233">
        <f t="shared" ref="I142" si="0">+SUM(H141:H142)</f>
        <v>0</v>
      </c>
      <c r="J142" s="235"/>
      <c r="K142" s="233">
        <f t="shared" ref="K142" si="1">+SUM(J141:J142)</f>
        <v>0</v>
      </c>
      <c r="L142" s="235"/>
      <c r="M142" s="233">
        <f t="shared" ref="M142" si="2">+SUM(L141:L142)</f>
        <v>0</v>
      </c>
      <c r="N142" s="355"/>
      <c r="O142" s="233">
        <f>+SUM(N141:N142)</f>
        <v>0</v>
      </c>
      <c r="P142" s="355">
        <v>1284174</v>
      </c>
      <c r="Q142" s="233">
        <f t="shared" ref="Q142:AI142" si="3">+SUM(P141:P142)</f>
        <v>1284174</v>
      </c>
      <c r="R142" s="235"/>
      <c r="S142" s="233">
        <f t="shared" si="3"/>
        <v>0</v>
      </c>
      <c r="T142" s="355">
        <v>40467003</v>
      </c>
      <c r="U142" s="233">
        <f t="shared" si="3"/>
        <v>40467003</v>
      </c>
      <c r="V142" s="235"/>
      <c r="W142" s="233">
        <f t="shared" si="3"/>
        <v>0</v>
      </c>
      <c r="X142" s="235"/>
      <c r="Y142" s="233">
        <f t="shared" si="3"/>
        <v>0</v>
      </c>
      <c r="Z142" s="235"/>
      <c r="AA142" s="233">
        <f t="shared" si="3"/>
        <v>68621541</v>
      </c>
      <c r="AB142" s="235"/>
      <c r="AC142" s="233">
        <f t="shared" si="3"/>
        <v>0</v>
      </c>
      <c r="AD142" s="235"/>
      <c r="AE142" s="233">
        <f t="shared" si="3"/>
        <v>0</v>
      </c>
      <c r="AF142" s="355">
        <v>20835242</v>
      </c>
      <c r="AG142" s="233">
        <f t="shared" si="3"/>
        <v>20835242</v>
      </c>
      <c r="AH142" s="355">
        <v>13558809</v>
      </c>
      <c r="AI142" s="233">
        <f t="shared" si="3"/>
        <v>13558809</v>
      </c>
    </row>
    <row r="143" spans="2:35">
      <c r="B143" s="327"/>
      <c r="C143" s="244"/>
      <c r="D143" s="327"/>
      <c r="E143" s="233"/>
      <c r="F143" s="327"/>
      <c r="G143" s="233"/>
      <c r="H143" s="327"/>
      <c r="I143" s="233"/>
      <c r="J143" s="327"/>
      <c r="K143" s="233"/>
      <c r="L143" s="327"/>
      <c r="M143" s="233"/>
      <c r="N143" s="327"/>
      <c r="O143" s="233"/>
      <c r="P143" s="327"/>
      <c r="Q143" s="233"/>
      <c r="R143" s="327"/>
      <c r="S143" s="233"/>
      <c r="T143" s="327"/>
      <c r="U143" s="233"/>
      <c r="V143" s="354"/>
      <c r="W143" s="233"/>
      <c r="X143" s="327"/>
      <c r="Y143" s="233"/>
      <c r="Z143" s="327"/>
      <c r="AA143" s="233"/>
      <c r="AB143" s="327"/>
      <c r="AC143" s="233"/>
      <c r="AD143" s="327"/>
      <c r="AE143" s="233"/>
      <c r="AF143" s="327"/>
      <c r="AG143" s="233"/>
      <c r="AH143" s="327"/>
      <c r="AI143" s="233"/>
    </row>
    <row r="144" spans="2:35" ht="12" thickBot="1">
      <c r="B144" s="665" t="s">
        <v>806</v>
      </c>
      <c r="C144" s="248"/>
      <c r="D144" s="235"/>
      <c r="E144" s="234">
        <f>+SUM(E138:E143)</f>
        <v>264636859</v>
      </c>
      <c r="F144" s="235"/>
      <c r="G144" s="234">
        <f>+SUM(G138:G143)</f>
        <v>0</v>
      </c>
      <c r="H144" s="235"/>
      <c r="I144" s="234">
        <f>+SUM(I138:I143)</f>
        <v>0</v>
      </c>
      <c r="J144" s="235"/>
      <c r="K144" s="234">
        <f>+SUM(K138:K143)</f>
        <v>0</v>
      </c>
      <c r="L144" s="235"/>
      <c r="M144" s="234">
        <f>+SUM(M138:M143)</f>
        <v>0</v>
      </c>
      <c r="N144" s="235"/>
      <c r="O144" s="234">
        <f>+SUM(O138:O143)</f>
        <v>0</v>
      </c>
      <c r="P144" s="235"/>
      <c r="Q144" s="234">
        <f>+SUM(Q138:Q143)</f>
        <v>1284174</v>
      </c>
      <c r="R144" s="235"/>
      <c r="S144" s="234">
        <f>+SUM(S138:S143)</f>
        <v>0</v>
      </c>
      <c r="T144" s="235"/>
      <c r="U144" s="234">
        <f>+SUM(U138:U143)</f>
        <v>40467003</v>
      </c>
      <c r="V144" s="355"/>
      <c r="W144" s="234">
        <f>+SUM(W138:W143)</f>
        <v>0</v>
      </c>
      <c r="X144" s="235"/>
      <c r="Y144" s="234">
        <f>+SUM(Y138:Y143)</f>
        <v>0</v>
      </c>
      <c r="Z144" s="235"/>
      <c r="AA144" s="234">
        <f>+SUM(AA138:AA143)</f>
        <v>188491631</v>
      </c>
      <c r="AB144" s="235"/>
      <c r="AC144" s="234">
        <f>+SUM(AC138:AC143)</f>
        <v>0</v>
      </c>
      <c r="AD144" s="235"/>
      <c r="AE144" s="234">
        <f>+SUM(AE138:AE143)</f>
        <v>0</v>
      </c>
      <c r="AF144" s="235"/>
      <c r="AG144" s="234">
        <f>+SUM(AG138:AG143)</f>
        <v>20835242</v>
      </c>
      <c r="AH144" s="235"/>
      <c r="AI144" s="234">
        <f>+SUM(AI138:AI143)</f>
        <v>13558809</v>
      </c>
    </row>
    <row r="146" spans="2:35" ht="22.5" hidden="1" customHeight="1">
      <c r="B146" s="1475" t="s">
        <v>881</v>
      </c>
      <c r="C146" s="1475"/>
      <c r="D146" s="1475"/>
      <c r="E146" s="1475"/>
      <c r="F146" s="1475"/>
      <c r="G146" s="1475"/>
    </row>
    <row r="148" spans="2:35">
      <c r="B148" s="318" t="s">
        <v>716</v>
      </c>
    </row>
    <row r="149" spans="2:35" ht="12" thickBot="1">
      <c r="G149" s="335" t="s">
        <v>247</v>
      </c>
    </row>
    <row r="150" spans="2:35" ht="12" thickBot="1">
      <c r="B150" s="334"/>
      <c r="C150" s="250"/>
      <c r="D150" s="1463" t="s">
        <v>860</v>
      </c>
      <c r="E150" s="1464"/>
      <c r="F150" s="1463" t="s">
        <v>17</v>
      </c>
      <c r="G150" s="1464"/>
      <c r="H150" s="1463" t="s">
        <v>18</v>
      </c>
      <c r="I150" s="1464"/>
      <c r="J150" s="1463" t="s">
        <v>19</v>
      </c>
      <c r="K150" s="1464"/>
      <c r="L150" s="1463" t="s">
        <v>20</v>
      </c>
      <c r="M150" s="1464"/>
      <c r="N150" s="1463" t="s">
        <v>21</v>
      </c>
      <c r="O150" s="1464"/>
      <c r="P150" s="1463" t="s">
        <v>22</v>
      </c>
      <c r="Q150" s="1464"/>
      <c r="R150" s="1463" t="s">
        <v>23</v>
      </c>
      <c r="S150" s="1464"/>
      <c r="T150" s="1463" t="s">
        <v>24</v>
      </c>
      <c r="U150" s="1464"/>
      <c r="V150" s="1463" t="s">
        <v>25</v>
      </c>
      <c r="W150" s="1464"/>
      <c r="X150" s="1463" t="s">
        <v>26</v>
      </c>
      <c r="Y150" s="1464"/>
      <c r="Z150" s="1463" t="s">
        <v>27</v>
      </c>
      <c r="AA150" s="1464"/>
      <c r="AB150" s="1463"/>
      <c r="AC150" s="1464"/>
      <c r="AD150" s="1463" t="s">
        <v>1266</v>
      </c>
      <c r="AE150" s="1464"/>
      <c r="AF150" s="1463" t="s">
        <v>30</v>
      </c>
      <c r="AG150" s="1464"/>
      <c r="AH150" s="1463" t="s">
        <v>31</v>
      </c>
      <c r="AI150" s="1464"/>
    </row>
    <row r="151" spans="2:35">
      <c r="B151" s="327"/>
      <c r="C151" s="243"/>
      <c r="D151" s="351"/>
      <c r="E151" s="356"/>
      <c r="F151" s="357"/>
      <c r="G151" s="352"/>
      <c r="H151" s="357"/>
      <c r="I151" s="352"/>
      <c r="J151" s="357"/>
      <c r="K151" s="352"/>
      <c r="L151" s="357"/>
      <c r="M151" s="352"/>
      <c r="N151" s="357"/>
      <c r="O151" s="352"/>
      <c r="P151" s="357"/>
      <c r="Q151" s="352"/>
      <c r="R151" s="357"/>
      <c r="S151" s="352"/>
      <c r="T151" s="357"/>
      <c r="U151" s="352"/>
      <c r="V151" s="358"/>
      <c r="W151" s="352"/>
      <c r="X151" s="357"/>
      <c r="Y151" s="352"/>
      <c r="Z151" s="357"/>
      <c r="AA151" s="352"/>
      <c r="AB151" s="357"/>
      <c r="AC151" s="352"/>
      <c r="AD151" s="357"/>
      <c r="AE151" s="352"/>
      <c r="AF151" s="357"/>
      <c r="AG151" s="352"/>
      <c r="AH151" s="357"/>
      <c r="AI151" s="352"/>
    </row>
    <row r="152" spans="2:35">
      <c r="B152" s="359" t="s">
        <v>888</v>
      </c>
      <c r="C152" s="243"/>
      <c r="D152" s="327"/>
      <c r="E152" s="352"/>
      <c r="F152" s="360"/>
      <c r="G152" s="352"/>
      <c r="H152" s="360"/>
      <c r="I152" s="352"/>
      <c r="J152" s="360"/>
      <c r="K152" s="352"/>
      <c r="L152" s="360"/>
      <c r="M152" s="352"/>
      <c r="N152" s="360"/>
      <c r="O152" s="352"/>
      <c r="P152" s="360"/>
      <c r="Q152" s="352"/>
      <c r="R152" s="360"/>
      <c r="S152" s="352"/>
      <c r="T152" s="360"/>
      <c r="U152" s="352"/>
      <c r="V152" s="239"/>
      <c r="W152" s="352"/>
      <c r="X152" s="360"/>
      <c r="Y152" s="352"/>
      <c r="Z152" s="360"/>
      <c r="AA152" s="352"/>
      <c r="AB152" s="360"/>
      <c r="AC152" s="352"/>
      <c r="AD152" s="360"/>
      <c r="AE152" s="352"/>
      <c r="AF152" s="360"/>
      <c r="AG152" s="352"/>
      <c r="AH152" s="360"/>
      <c r="AI152" s="352"/>
    </row>
    <row r="153" spans="2:35">
      <c r="B153" s="720" t="s">
        <v>1242</v>
      </c>
      <c r="C153" s="243"/>
      <c r="D153" s="237">
        <f t="shared" ref="D153:D159" si="4">F153+H153+J153+L153+N153+P153+R153+T153+V153+X153+Z153+AB153+AD153+AF153+AH153</f>
        <v>247922205</v>
      </c>
      <c r="E153" s="352"/>
      <c r="F153" s="239">
        <v>88152492</v>
      </c>
      <c r="G153" s="352"/>
      <c r="H153" s="239">
        <v>11300852</v>
      </c>
      <c r="I153" s="352"/>
      <c r="J153" s="239">
        <v>3188714</v>
      </c>
      <c r="K153" s="352"/>
      <c r="L153" s="239">
        <v>5227440</v>
      </c>
      <c r="M153" s="352"/>
      <c r="N153" s="239"/>
      <c r="O153" s="352"/>
      <c r="P153" s="239">
        <v>30767720</v>
      </c>
      <c r="Q153" s="352"/>
      <c r="R153" s="239">
        <v>5916738</v>
      </c>
      <c r="S153" s="352"/>
      <c r="T153" s="491">
        <v>20322626</v>
      </c>
      <c r="U153" s="352"/>
      <c r="V153" s="239">
        <v>22104915</v>
      </c>
      <c r="W153" s="352"/>
      <c r="X153" s="239">
        <v>4582314</v>
      </c>
      <c r="Y153" s="352"/>
      <c r="Z153" s="239">
        <v>11802814</v>
      </c>
      <c r="AA153" s="352"/>
      <c r="AB153" s="239"/>
      <c r="AC153" s="352"/>
      <c r="AD153" s="239">
        <v>23947138</v>
      </c>
      <c r="AE153" s="352"/>
      <c r="AF153" s="239">
        <v>18096850</v>
      </c>
      <c r="AG153" s="352"/>
      <c r="AH153" s="239">
        <v>2511592</v>
      </c>
      <c r="AI153" s="352"/>
    </row>
    <row r="154" spans="2:35" ht="12.75" customHeight="1">
      <c r="B154" s="361" t="s">
        <v>1241</v>
      </c>
      <c r="C154" s="243"/>
      <c r="D154" s="237">
        <f t="shared" si="4"/>
        <v>723477635</v>
      </c>
      <c r="E154" s="352"/>
      <c r="F154" s="239">
        <v>235565570</v>
      </c>
      <c r="G154" s="352"/>
      <c r="H154" s="239">
        <v>58994652</v>
      </c>
      <c r="I154" s="352"/>
      <c r="J154" s="239">
        <v>14339049</v>
      </c>
      <c r="K154" s="352"/>
      <c r="L154" s="239">
        <v>17217089</v>
      </c>
      <c r="M154" s="352"/>
      <c r="N154" s="239"/>
      <c r="O154" s="352"/>
      <c r="P154" s="239">
        <v>57920565</v>
      </c>
      <c r="Q154" s="352"/>
      <c r="R154" s="649">
        <v>19244422</v>
      </c>
      <c r="S154" s="352"/>
      <c r="T154" s="491">
        <v>78600022</v>
      </c>
      <c r="U154" s="352"/>
      <c r="V154" s="239">
        <v>54005640</v>
      </c>
      <c r="W154" s="352"/>
      <c r="X154" s="239">
        <v>10105858</v>
      </c>
      <c r="Y154" s="352"/>
      <c r="Z154" s="649">
        <v>32582824</v>
      </c>
      <c r="AA154" s="352"/>
      <c r="AB154" s="239"/>
      <c r="AC154" s="352"/>
      <c r="AD154" s="239">
        <v>68315733</v>
      </c>
      <c r="AE154" s="352"/>
      <c r="AF154" s="239">
        <v>76586211</v>
      </c>
      <c r="AG154" s="352"/>
      <c r="AH154" s="239"/>
      <c r="AI154" s="352"/>
    </row>
    <row r="155" spans="2:35" ht="21">
      <c r="B155" s="720" t="s">
        <v>1246</v>
      </c>
      <c r="C155" s="243"/>
      <c r="D155" s="237">
        <f t="shared" si="4"/>
        <v>502789960</v>
      </c>
      <c r="E155" s="352"/>
      <c r="F155" s="239">
        <f>100169545-5400946</f>
        <v>94768599</v>
      </c>
      <c r="G155" s="352"/>
      <c r="H155" s="239">
        <v>51045445</v>
      </c>
      <c r="I155" s="352"/>
      <c r="J155" s="239">
        <v>408478</v>
      </c>
      <c r="K155" s="352"/>
      <c r="L155" s="239">
        <v>5210717</v>
      </c>
      <c r="M155" s="352"/>
      <c r="N155" s="239"/>
      <c r="O155" s="352"/>
      <c r="P155" s="239">
        <v>38899757</v>
      </c>
      <c r="Q155" s="352"/>
      <c r="R155" s="649">
        <v>33092194</v>
      </c>
      <c r="S155" s="352"/>
      <c r="T155" s="491">
        <v>38352481</v>
      </c>
      <c r="U155" s="352"/>
      <c r="V155" s="239">
        <v>67281111</v>
      </c>
      <c r="W155" s="352"/>
      <c r="X155" s="239">
        <v>532283</v>
      </c>
      <c r="Y155" s="352"/>
      <c r="Z155" s="649">
        <v>41513562</v>
      </c>
      <c r="AA155" s="352"/>
      <c r="AB155" s="239"/>
      <c r="AC155" s="352"/>
      <c r="AD155" s="239">
        <v>16648201</v>
      </c>
      <c r="AE155" s="352"/>
      <c r="AF155" s="239">
        <v>115037132</v>
      </c>
      <c r="AG155" s="352"/>
      <c r="AH155" s="239"/>
      <c r="AI155" s="352"/>
    </row>
    <row r="156" spans="2:35">
      <c r="B156" s="361" t="s">
        <v>1243</v>
      </c>
      <c r="C156" s="243"/>
      <c r="D156" s="237">
        <f t="shared" si="4"/>
        <v>198444039</v>
      </c>
      <c r="E156" s="352"/>
      <c r="F156" s="239">
        <v>75682739</v>
      </c>
      <c r="G156" s="352"/>
      <c r="H156" s="239">
        <v>12808841</v>
      </c>
      <c r="I156" s="352"/>
      <c r="J156" s="239">
        <v>2311981</v>
      </c>
      <c r="K156" s="352"/>
      <c r="L156" s="239">
        <v>4029934</v>
      </c>
      <c r="M156" s="352"/>
      <c r="N156" s="239"/>
      <c r="O156" s="352"/>
      <c r="P156" s="239">
        <v>14448571</v>
      </c>
      <c r="Q156" s="352"/>
      <c r="R156" s="239">
        <v>3793045</v>
      </c>
      <c r="S156" s="352"/>
      <c r="T156" s="491">
        <v>21848302</v>
      </c>
      <c r="U156" s="352"/>
      <c r="V156" s="239">
        <v>12492141</v>
      </c>
      <c r="W156" s="352"/>
      <c r="X156" s="239">
        <v>4730885</v>
      </c>
      <c r="Y156" s="352"/>
      <c r="Z156" s="239">
        <v>8332135</v>
      </c>
      <c r="AA156" s="352"/>
      <c r="AB156" s="239"/>
      <c r="AC156" s="352"/>
      <c r="AD156" s="239">
        <v>21112688</v>
      </c>
      <c r="AE156" s="352"/>
      <c r="AF156" s="239">
        <v>13796830</v>
      </c>
      <c r="AG156" s="352"/>
      <c r="AH156" s="239">
        <v>3055947</v>
      </c>
      <c r="AI156" s="352"/>
    </row>
    <row r="157" spans="2:35" ht="10.5" customHeight="1">
      <c r="B157" s="361" t="s">
        <v>1247</v>
      </c>
      <c r="C157" s="243"/>
      <c r="D157" s="237">
        <f t="shared" si="4"/>
        <v>47695846</v>
      </c>
      <c r="E157" s="352"/>
      <c r="F157" s="239">
        <v>16100890</v>
      </c>
      <c r="G157" s="352"/>
      <c r="H157" s="239">
        <v>3869590</v>
      </c>
      <c r="I157" s="352"/>
      <c r="J157" s="239">
        <v>710934</v>
      </c>
      <c r="K157" s="352"/>
      <c r="L157" s="239">
        <v>897136</v>
      </c>
      <c r="M157" s="352"/>
      <c r="N157" s="239"/>
      <c r="O157" s="352"/>
      <c r="P157" s="239">
        <v>4763034</v>
      </c>
      <c r="Q157" s="352"/>
      <c r="R157" s="239">
        <v>1046859</v>
      </c>
      <c r="S157" s="352"/>
      <c r="T157" s="491">
        <v>5340641</v>
      </c>
      <c r="U157" s="352"/>
      <c r="V157" s="239">
        <v>3526651</v>
      </c>
      <c r="W157" s="352"/>
      <c r="X157" s="239">
        <v>622479</v>
      </c>
      <c r="Y157" s="352"/>
      <c r="Z157" s="239">
        <v>2072768</v>
      </c>
      <c r="AA157" s="352"/>
      <c r="AB157" s="239"/>
      <c r="AC157" s="352"/>
      <c r="AD157" s="239">
        <v>4385536</v>
      </c>
      <c r="AE157" s="352"/>
      <c r="AF157" s="239">
        <v>4359328</v>
      </c>
      <c r="AG157" s="352"/>
      <c r="AH157" s="239"/>
      <c r="AI157" s="352"/>
    </row>
    <row r="158" spans="2:35">
      <c r="B158" s="361" t="s">
        <v>1248</v>
      </c>
      <c r="C158" s="243"/>
      <c r="D158" s="237">
        <f t="shared" si="4"/>
        <v>1855540</v>
      </c>
      <c r="E158" s="352"/>
      <c r="F158" s="239">
        <v>693708</v>
      </c>
      <c r="G158" s="352"/>
      <c r="H158" s="239">
        <v>146997</v>
      </c>
      <c r="I158" s="352"/>
      <c r="J158" s="239">
        <v>34839</v>
      </c>
      <c r="K158" s="352"/>
      <c r="L158" s="239">
        <v>43161</v>
      </c>
      <c r="M158" s="352"/>
      <c r="N158" s="239"/>
      <c r="O158" s="352"/>
      <c r="P158" s="239">
        <v>165483</v>
      </c>
      <c r="Q158" s="352"/>
      <c r="R158" s="239">
        <v>35286</v>
      </c>
      <c r="S158" s="352"/>
      <c r="T158" s="491">
        <v>194790</v>
      </c>
      <c r="U158" s="352"/>
      <c r="V158" s="239">
        <v>137718</v>
      </c>
      <c r="W158" s="352"/>
      <c r="X158" s="239">
        <v>31701</v>
      </c>
      <c r="Y158" s="352"/>
      <c r="Z158" s="239">
        <v>68737</v>
      </c>
      <c r="AA158" s="352"/>
      <c r="AB158" s="239"/>
      <c r="AC158" s="352"/>
      <c r="AD158" s="239">
        <v>160703</v>
      </c>
      <c r="AE158" s="352"/>
      <c r="AF158" s="239">
        <v>142417</v>
      </c>
      <c r="AG158" s="352"/>
      <c r="AH158" s="239"/>
      <c r="AI158" s="352"/>
    </row>
    <row r="159" spans="2:35" ht="12" thickBot="1">
      <c r="B159" s="361" t="s">
        <v>1249</v>
      </c>
      <c r="C159" s="243"/>
      <c r="D159" s="245">
        <f t="shared" si="4"/>
        <v>49050849</v>
      </c>
      <c r="E159" s="233">
        <f>+SUM(D153:D159)</f>
        <v>1771236074</v>
      </c>
      <c r="F159" s="355">
        <v>16769709</v>
      </c>
      <c r="G159" s="233">
        <f>+SUM(F153:F159)</f>
        <v>527733707</v>
      </c>
      <c r="H159" s="355">
        <v>4118420</v>
      </c>
      <c r="I159" s="233">
        <f>+SUM(H153:H159)</f>
        <v>142284797</v>
      </c>
      <c r="J159" s="355">
        <v>831738</v>
      </c>
      <c r="K159" s="233">
        <f>+SUM(J153:J159)</f>
        <v>21825733</v>
      </c>
      <c r="L159" s="355">
        <v>1015602</v>
      </c>
      <c r="M159" s="233">
        <f>+SUM(L153:L159)</f>
        <v>33641079</v>
      </c>
      <c r="N159" s="355"/>
      <c r="O159" s="233">
        <f>+SUM(N153:N159)</f>
        <v>0</v>
      </c>
      <c r="P159" s="355">
        <v>2805688</v>
      </c>
      <c r="Q159" s="233">
        <f>+SUM(P153:P159)</f>
        <v>149770818</v>
      </c>
      <c r="R159" s="648">
        <v>678095</v>
      </c>
      <c r="S159" s="233">
        <f>+SUM(R153:R159)</f>
        <v>63806639</v>
      </c>
      <c r="T159" s="492">
        <v>8013795</v>
      </c>
      <c r="U159" s="233">
        <f>+SUM(T153:T159)</f>
        <v>172672657</v>
      </c>
      <c r="V159" s="355">
        <v>2884139</v>
      </c>
      <c r="W159" s="233">
        <f>+SUM(V153:V159)</f>
        <v>162432315</v>
      </c>
      <c r="X159" s="355">
        <v>793251</v>
      </c>
      <c r="Y159" s="233">
        <f>+SUM(X153:X159)</f>
        <v>21398771</v>
      </c>
      <c r="Z159" s="355">
        <v>2595243</v>
      </c>
      <c r="AA159" s="233">
        <f>+SUM(Z153:Z159)</f>
        <v>98968083</v>
      </c>
      <c r="AB159" s="355"/>
      <c r="AC159" s="233">
        <f>+SUM(AB153:AB159)</f>
        <v>0</v>
      </c>
      <c r="AD159" s="355">
        <v>4161975</v>
      </c>
      <c r="AE159" s="233">
        <f>+SUM(AD153:AD159)</f>
        <v>138731974</v>
      </c>
      <c r="AF159" s="355">
        <v>4383194</v>
      </c>
      <c r="AG159" s="233">
        <f>+SUM(AF153:AF159)</f>
        <v>232401962</v>
      </c>
      <c r="AH159" s="355"/>
      <c r="AI159" s="233">
        <f>+SUM(AH153:AH159)</f>
        <v>5567539</v>
      </c>
    </row>
    <row r="160" spans="2:35">
      <c r="B160" s="359"/>
      <c r="C160" s="243"/>
      <c r="D160" s="327"/>
      <c r="E160" s="352"/>
      <c r="F160" s="360"/>
      <c r="G160" s="352"/>
      <c r="H160" s="360"/>
      <c r="I160" s="352"/>
      <c r="J160" s="360"/>
      <c r="K160" s="352"/>
      <c r="L160" s="360"/>
      <c r="M160" s="352"/>
      <c r="N160" s="360"/>
      <c r="O160" s="352"/>
      <c r="P160" s="360"/>
      <c r="Q160" s="352"/>
      <c r="R160" s="360"/>
      <c r="S160" s="352"/>
      <c r="T160" s="360"/>
      <c r="U160" s="352"/>
      <c r="V160" s="239"/>
      <c r="W160" s="352"/>
      <c r="X160" s="360"/>
      <c r="Y160" s="352"/>
      <c r="Z160" s="360"/>
      <c r="AA160" s="352"/>
      <c r="AB160" s="360"/>
      <c r="AC160" s="352"/>
      <c r="AD160" s="360"/>
      <c r="AE160" s="352"/>
      <c r="AF160" s="360"/>
      <c r="AG160" s="352"/>
      <c r="AH160" s="360"/>
      <c r="AI160" s="352"/>
    </row>
    <row r="161" spans="2:35">
      <c r="B161" s="359" t="s">
        <v>887</v>
      </c>
      <c r="C161" s="243"/>
      <c r="D161" s="327"/>
      <c r="E161" s="233">
        <f>G161+I161+K161+M161+O161+Q161+S161+U161+W161+Y161+AA161+AC161+AE161+AG161+AI161</f>
        <v>0</v>
      </c>
      <c r="F161" s="360"/>
      <c r="G161" s="352"/>
      <c r="H161" s="360"/>
      <c r="I161" s="352"/>
      <c r="J161" s="360"/>
      <c r="K161" s="352"/>
      <c r="L161" s="360"/>
      <c r="M161" s="352"/>
      <c r="N161" s="360"/>
      <c r="O161" s="352"/>
      <c r="P161" s="360"/>
      <c r="Q161" s="352"/>
      <c r="R161" s="360"/>
      <c r="S161" s="352"/>
      <c r="T161" s="360"/>
      <c r="U161" s="352"/>
      <c r="V161" s="239"/>
      <c r="W161" s="352"/>
      <c r="X161" s="360"/>
      <c r="Y161" s="352"/>
      <c r="Z161" s="360"/>
      <c r="AA161" s="352"/>
      <c r="AB161" s="360"/>
      <c r="AC161" s="352"/>
      <c r="AD161" s="360"/>
      <c r="AE161" s="352"/>
      <c r="AF161" s="360"/>
      <c r="AG161" s="352"/>
      <c r="AH161" s="360"/>
      <c r="AI161" s="352"/>
    </row>
    <row r="162" spans="2:35">
      <c r="B162" s="327"/>
      <c r="C162" s="243"/>
      <c r="D162" s="327"/>
      <c r="E162" s="233"/>
      <c r="F162" s="360"/>
      <c r="G162" s="233"/>
      <c r="H162" s="360"/>
      <c r="I162" s="233"/>
      <c r="J162" s="360"/>
      <c r="K162" s="233"/>
      <c r="L162" s="360"/>
      <c r="M162" s="233"/>
      <c r="N162" s="360"/>
      <c r="O162" s="233"/>
      <c r="P162" s="360"/>
      <c r="Q162" s="233"/>
      <c r="R162" s="360"/>
      <c r="S162" s="233"/>
      <c r="T162" s="360"/>
      <c r="U162" s="233"/>
      <c r="V162" s="239"/>
      <c r="W162" s="233"/>
      <c r="X162" s="360"/>
      <c r="Y162" s="233"/>
      <c r="Z162" s="360"/>
      <c r="AA162" s="233"/>
      <c r="AB162" s="360"/>
      <c r="AC162" s="233"/>
      <c r="AD162" s="360"/>
      <c r="AE162" s="233"/>
      <c r="AF162" s="360"/>
      <c r="AG162" s="233"/>
      <c r="AH162" s="360"/>
      <c r="AI162" s="233"/>
    </row>
    <row r="163" spans="2:35" ht="12" thickBot="1">
      <c r="B163" s="665" t="s">
        <v>806</v>
      </c>
      <c r="C163" s="247"/>
      <c r="D163" s="235"/>
      <c r="E163" s="234">
        <f>SUM(E151:E162)</f>
        <v>1771236074</v>
      </c>
      <c r="F163" s="362"/>
      <c r="G163" s="234">
        <f>SUM(G151:G162)</f>
        <v>527733707</v>
      </c>
      <c r="H163" s="362"/>
      <c r="I163" s="234">
        <f>SUM(I151:I162)</f>
        <v>142284797</v>
      </c>
      <c r="J163" s="362"/>
      <c r="K163" s="234">
        <f>SUM(K151:K162)</f>
        <v>21825733</v>
      </c>
      <c r="L163" s="362"/>
      <c r="M163" s="234">
        <f>SUM(M151:M162)</f>
        <v>33641079</v>
      </c>
      <c r="N163" s="362"/>
      <c r="O163" s="234">
        <f>SUM(O151:O162)</f>
        <v>0</v>
      </c>
      <c r="P163" s="362"/>
      <c r="Q163" s="234">
        <f>SUM(Q151:Q162)</f>
        <v>149770818</v>
      </c>
      <c r="R163" s="362"/>
      <c r="S163" s="234">
        <f>SUM(S151:S162)</f>
        <v>63806639</v>
      </c>
      <c r="T163" s="362"/>
      <c r="U163" s="234">
        <f>SUM(U151:U162)</f>
        <v>172672657</v>
      </c>
      <c r="V163" s="363"/>
      <c r="W163" s="234">
        <f>SUM(W151:W162)</f>
        <v>162432315</v>
      </c>
      <c r="X163" s="362"/>
      <c r="Y163" s="234">
        <f>SUM(Y151:Y162)</f>
        <v>21398771</v>
      </c>
      <c r="Z163" s="362"/>
      <c r="AA163" s="234">
        <f>SUM(AA151:AA162)</f>
        <v>98968083</v>
      </c>
      <c r="AB163" s="362"/>
      <c r="AC163" s="234">
        <f>SUM(AC151:AC162)</f>
        <v>0</v>
      </c>
      <c r="AD163" s="362"/>
      <c r="AE163" s="234">
        <f>SUM(AE151:AE162)</f>
        <v>138731974</v>
      </c>
      <c r="AF163" s="362"/>
      <c r="AG163" s="234">
        <f>SUM(AG151:AG162)</f>
        <v>232401962</v>
      </c>
      <c r="AH163" s="362"/>
      <c r="AI163" s="234">
        <f>SUM(AI151:AI162)</f>
        <v>5567539</v>
      </c>
    </row>
    <row r="165" spans="2:35">
      <c r="B165" s="318" t="s">
        <v>889</v>
      </c>
    </row>
    <row r="167" spans="2:35">
      <c r="B167" s="318" t="s">
        <v>890</v>
      </c>
    </row>
    <row r="168" spans="2:35" ht="12" thickBot="1">
      <c r="G168" s="335" t="s">
        <v>247</v>
      </c>
    </row>
    <row r="169" spans="2:35" ht="12" thickBot="1">
      <c r="B169" s="334"/>
      <c r="C169" s="250"/>
      <c r="D169" s="1463" t="s">
        <v>860</v>
      </c>
      <c r="E169" s="1464"/>
      <c r="F169" s="1463" t="s">
        <v>17</v>
      </c>
      <c r="G169" s="1464"/>
      <c r="H169" s="1463" t="s">
        <v>18</v>
      </c>
      <c r="I169" s="1464"/>
      <c r="J169" s="1463" t="s">
        <v>19</v>
      </c>
      <c r="K169" s="1464"/>
      <c r="L169" s="1463" t="s">
        <v>20</v>
      </c>
      <c r="M169" s="1464"/>
      <c r="N169" s="1463" t="s">
        <v>21</v>
      </c>
      <c r="O169" s="1464"/>
      <c r="P169" s="1463" t="s">
        <v>22</v>
      </c>
      <c r="Q169" s="1464"/>
      <c r="R169" s="1463" t="s">
        <v>23</v>
      </c>
      <c r="S169" s="1464"/>
      <c r="T169" s="1463" t="s">
        <v>24</v>
      </c>
      <c r="U169" s="1464"/>
      <c r="V169" s="1463" t="s">
        <v>25</v>
      </c>
      <c r="W169" s="1464"/>
      <c r="X169" s="1463" t="s">
        <v>26</v>
      </c>
      <c r="Y169" s="1464"/>
      <c r="Z169" s="1463" t="s">
        <v>27</v>
      </c>
      <c r="AA169" s="1464"/>
      <c r="AB169" s="1463"/>
      <c r="AC169" s="1464"/>
      <c r="AD169" s="1463" t="s">
        <v>1266</v>
      </c>
      <c r="AE169" s="1464"/>
      <c r="AF169" s="1463" t="s">
        <v>30</v>
      </c>
      <c r="AG169" s="1464"/>
      <c r="AH169" s="1463" t="s">
        <v>31</v>
      </c>
      <c r="AI169" s="1464"/>
    </row>
    <row r="170" spans="2:35">
      <c r="B170" s="359" t="s">
        <v>143</v>
      </c>
      <c r="C170" s="243"/>
      <c r="D170" s="351"/>
      <c r="E170" s="356"/>
      <c r="F170" s="357"/>
      <c r="G170" s="352"/>
      <c r="H170" s="357"/>
      <c r="I170" s="352"/>
      <c r="J170" s="357"/>
      <c r="K170" s="352"/>
      <c r="L170" s="357"/>
      <c r="M170" s="352"/>
      <c r="N170" s="357"/>
      <c r="O170" s="352"/>
      <c r="P170" s="357"/>
      <c r="Q170" s="352"/>
      <c r="R170" s="357"/>
      <c r="S170" s="352"/>
      <c r="T170" s="357"/>
      <c r="U170" s="352"/>
      <c r="V170" s="358"/>
      <c r="W170" s="352"/>
      <c r="X170" s="357"/>
      <c r="Y170" s="352"/>
      <c r="Z170" s="357"/>
      <c r="AA170" s="352"/>
      <c r="AB170" s="357"/>
      <c r="AC170" s="352"/>
      <c r="AD170" s="357"/>
      <c r="AE170" s="352"/>
      <c r="AF170" s="357"/>
      <c r="AG170" s="352"/>
      <c r="AH170" s="357"/>
      <c r="AI170" s="352"/>
    </row>
    <row r="171" spans="2:35">
      <c r="B171" s="359" t="s">
        <v>891</v>
      </c>
      <c r="C171" s="243"/>
      <c r="D171" s="327"/>
      <c r="E171" s="352"/>
      <c r="F171" s="360"/>
      <c r="G171" s="352"/>
      <c r="H171" s="360"/>
      <c r="I171" s="352"/>
      <c r="J171" s="360"/>
      <c r="K171" s="352"/>
      <c r="L171" s="360"/>
      <c r="M171" s="352"/>
      <c r="N171" s="360"/>
      <c r="O171" s="352"/>
      <c r="P171" s="360"/>
      <c r="Q171" s="352"/>
      <c r="R171" s="360"/>
      <c r="S171" s="352"/>
      <c r="T171" s="360"/>
      <c r="U171" s="352"/>
      <c r="V171" s="239"/>
      <c r="W171" s="352"/>
      <c r="X171" s="360"/>
      <c r="Y171" s="352"/>
      <c r="Z171" s="360"/>
      <c r="AA171" s="352"/>
      <c r="AB171" s="360"/>
      <c r="AC171" s="352"/>
      <c r="AD171" s="360"/>
      <c r="AE171" s="352"/>
      <c r="AF171" s="360"/>
      <c r="AG171" s="352"/>
      <c r="AH171" s="360"/>
      <c r="AI171" s="352"/>
    </row>
    <row r="172" spans="2:35" ht="31.5">
      <c r="B172" s="364" t="s">
        <v>144</v>
      </c>
      <c r="C172" s="243"/>
      <c r="D172" s="237">
        <f>F172+H172+J172+L172+N172+P172+R172+T172+V172+X172+Z172+AB172+AD172+AF172+AH172</f>
        <v>1617265569</v>
      </c>
      <c r="E172" s="352"/>
      <c r="F172" s="262">
        <v>1615306971</v>
      </c>
      <c r="G172" s="352"/>
      <c r="H172" s="394"/>
      <c r="I172" s="352"/>
      <c r="J172" s="262">
        <v>165257</v>
      </c>
      <c r="K172" s="352"/>
      <c r="L172" s="237"/>
      <c r="M172" s="352"/>
      <c r="N172" s="237"/>
      <c r="O172" s="352"/>
      <c r="P172" s="237"/>
      <c r="Q172" s="352"/>
      <c r="R172" s="237">
        <v>16384</v>
      </c>
      <c r="S172" s="352"/>
      <c r="T172" s="237">
        <v>254587</v>
      </c>
      <c r="U172" s="352"/>
      <c r="V172" s="237">
        <v>966211</v>
      </c>
      <c r="W172" s="352"/>
      <c r="X172" s="237">
        <v>224087</v>
      </c>
      <c r="Y172" s="352"/>
      <c r="Z172" s="237">
        <v>55756</v>
      </c>
      <c r="AA172" s="352"/>
      <c r="AB172" s="237"/>
      <c r="AC172" s="352"/>
      <c r="AD172" s="394">
        <v>276316</v>
      </c>
      <c r="AE172" s="352"/>
      <c r="AF172" s="237"/>
      <c r="AG172" s="352"/>
      <c r="AH172" s="360"/>
      <c r="AI172" s="352"/>
    </row>
    <row r="173" spans="2:35" ht="12" thickBot="1">
      <c r="B173" s="364" t="s">
        <v>145</v>
      </c>
      <c r="C173" s="243"/>
      <c r="D173" s="245">
        <f>F173+H173+J173+L173+N173+P173+R173+T173+V173+X173+Z173+AB173+AD173+AF173+AH173</f>
        <v>1249222912</v>
      </c>
      <c r="E173" s="233">
        <f>+SUM(D172:D173)</f>
        <v>2866488481</v>
      </c>
      <c r="F173" s="355">
        <v>1249222912</v>
      </c>
      <c r="G173" s="233">
        <f>+SUM(F172:F173)</f>
        <v>2864529883</v>
      </c>
      <c r="H173" s="355"/>
      <c r="I173" s="233">
        <f>+SUM(H172:H173)</f>
        <v>0</v>
      </c>
      <c r="J173" s="355"/>
      <c r="K173" s="233">
        <f>+SUM(J172:J173)</f>
        <v>165257</v>
      </c>
      <c r="L173" s="355"/>
      <c r="M173" s="233">
        <f>+SUM(L172:L173)</f>
        <v>0</v>
      </c>
      <c r="N173" s="355"/>
      <c r="O173" s="233">
        <f>+SUM(N172:N173)</f>
        <v>0</v>
      </c>
      <c r="P173" s="355"/>
      <c r="Q173" s="233">
        <f>+SUM(P172:P173)</f>
        <v>0</v>
      </c>
      <c r="R173" s="355"/>
      <c r="S173" s="233">
        <f>+SUM(R172:R173)</f>
        <v>16384</v>
      </c>
      <c r="T173" s="355"/>
      <c r="U173" s="233">
        <f>+SUM(T172:T173)</f>
        <v>254587</v>
      </c>
      <c r="V173" s="355"/>
      <c r="W173" s="233">
        <f>+SUM(V172:V173)</f>
        <v>966211</v>
      </c>
      <c r="X173" s="245"/>
      <c r="Y173" s="233">
        <f>+SUM(X172:X173)</f>
        <v>224087</v>
      </c>
      <c r="Z173" s="355"/>
      <c r="AA173" s="233">
        <f>+SUM(Z172:Z173)</f>
        <v>55756</v>
      </c>
      <c r="AB173" s="355"/>
      <c r="AC173" s="233">
        <f>+SUM(AB172:AB173)</f>
        <v>0</v>
      </c>
      <c r="AD173" s="355"/>
      <c r="AE173" s="233">
        <f>+SUM(AD172:AD173)</f>
        <v>276316</v>
      </c>
      <c r="AF173" s="355"/>
      <c r="AG173" s="233">
        <f>+SUM(AF172:AF173)</f>
        <v>0</v>
      </c>
      <c r="AH173" s="355"/>
      <c r="AI173" s="233">
        <f>+SUM(AH172:AH173)</f>
        <v>0</v>
      </c>
    </row>
    <row r="174" spans="2:35">
      <c r="B174" s="359"/>
      <c r="C174" s="243"/>
      <c r="D174" s="327"/>
      <c r="E174" s="352"/>
      <c r="F174" s="360"/>
      <c r="G174" s="352"/>
      <c r="H174" s="360"/>
      <c r="I174" s="352"/>
      <c r="J174" s="360"/>
      <c r="K174" s="352"/>
      <c r="L174" s="360"/>
      <c r="M174" s="352"/>
      <c r="N174" s="360"/>
      <c r="O174" s="352"/>
      <c r="P174" s="360"/>
      <c r="Q174" s="352"/>
      <c r="R174" s="360"/>
      <c r="S174" s="352"/>
      <c r="T174" s="360"/>
      <c r="U174" s="352"/>
      <c r="V174" s="239"/>
      <c r="W174" s="352"/>
      <c r="X174" s="360"/>
      <c r="Y174" s="352"/>
      <c r="Z174" s="360"/>
      <c r="AA174" s="352"/>
      <c r="AB174" s="360"/>
      <c r="AC174" s="352"/>
      <c r="AD174" s="360"/>
      <c r="AE174" s="352"/>
      <c r="AF174" s="360"/>
      <c r="AG174" s="352"/>
      <c r="AH174" s="360"/>
      <c r="AI174" s="352"/>
    </row>
    <row r="175" spans="2:35">
      <c r="B175" s="359" t="s">
        <v>887</v>
      </c>
      <c r="C175" s="243"/>
      <c r="D175" s="327"/>
      <c r="E175" s="233">
        <f>G175+G175+I175+K175+M175+O175+Q175+S175+U175+W175+Y175+AA175+AC175+AE175+AG175+AI175</f>
        <v>0</v>
      </c>
      <c r="F175" s="360"/>
      <c r="G175" s="352"/>
      <c r="H175" s="360"/>
      <c r="I175" s="233"/>
      <c r="J175" s="360"/>
      <c r="K175" s="352"/>
      <c r="L175" s="360"/>
      <c r="M175" s="352"/>
      <c r="N175" s="360"/>
      <c r="O175" s="352"/>
      <c r="P175" s="360"/>
      <c r="Q175" s="352"/>
      <c r="R175" s="360"/>
      <c r="S175" s="352"/>
      <c r="T175" s="360"/>
      <c r="U175" s="352"/>
      <c r="V175" s="239"/>
      <c r="W175" s="352"/>
      <c r="X175" s="360"/>
      <c r="Y175" s="233"/>
      <c r="Z175" s="360"/>
      <c r="AA175" s="352"/>
      <c r="AB175" s="360"/>
      <c r="AC175" s="352"/>
      <c r="AD175" s="360"/>
      <c r="AE175" s="352"/>
      <c r="AF175" s="360"/>
      <c r="AG175" s="352"/>
      <c r="AH175" s="360"/>
      <c r="AI175" s="352"/>
    </row>
    <row r="176" spans="2:35">
      <c r="B176" s="327"/>
      <c r="C176" s="243"/>
      <c r="D176" s="327"/>
      <c r="E176" s="233"/>
      <c r="F176" s="360"/>
      <c r="G176" s="233"/>
      <c r="H176" s="360"/>
      <c r="I176" s="233"/>
      <c r="J176" s="360"/>
      <c r="K176" s="233"/>
      <c r="L176" s="360"/>
      <c r="M176" s="233"/>
      <c r="N176" s="360"/>
      <c r="O176" s="233"/>
      <c r="P176" s="360"/>
      <c r="Q176" s="233"/>
      <c r="R176" s="360"/>
      <c r="S176" s="233"/>
      <c r="T176" s="360"/>
      <c r="U176" s="233"/>
      <c r="V176" s="239"/>
      <c r="W176" s="233"/>
      <c r="X176" s="360"/>
      <c r="Y176" s="233"/>
      <c r="Z176" s="360"/>
      <c r="AA176" s="233"/>
      <c r="AB176" s="360"/>
      <c r="AC176" s="233"/>
      <c r="AD176" s="360"/>
      <c r="AE176" s="233"/>
      <c r="AF176" s="360"/>
      <c r="AG176" s="233"/>
      <c r="AH176" s="360"/>
      <c r="AI176" s="233"/>
    </row>
    <row r="177" spans="2:35" ht="12" thickBot="1">
      <c r="B177" s="359"/>
      <c r="C177" s="243"/>
      <c r="D177" s="327"/>
      <c r="E177" s="233"/>
      <c r="F177" s="360"/>
      <c r="G177" s="233"/>
      <c r="H177" s="360"/>
      <c r="I177" s="233"/>
      <c r="J177" s="360"/>
      <c r="K177" s="233"/>
      <c r="L177" s="360"/>
      <c r="M177" s="233"/>
      <c r="N177" s="360"/>
      <c r="O177" s="233"/>
      <c r="P177" s="360"/>
      <c r="Q177" s="233"/>
      <c r="R177" s="360"/>
      <c r="S177" s="233"/>
      <c r="T177" s="360"/>
      <c r="U177" s="233"/>
      <c r="V177" s="239"/>
      <c r="W177" s="233"/>
      <c r="X177" s="360"/>
      <c r="Y177" s="233"/>
      <c r="Z177" s="360"/>
      <c r="AA177" s="233"/>
      <c r="AB177" s="360"/>
      <c r="AC177" s="233"/>
      <c r="AD177" s="360"/>
      <c r="AE177" s="233"/>
      <c r="AF177" s="360"/>
      <c r="AG177" s="233"/>
      <c r="AH177" s="360"/>
      <c r="AI177" s="233"/>
    </row>
    <row r="178" spans="2:35" ht="12" thickBot="1">
      <c r="B178" s="365" t="s">
        <v>806</v>
      </c>
      <c r="C178" s="274"/>
      <c r="D178" s="332"/>
      <c r="E178" s="324">
        <f>SUM(E171:E177)</f>
        <v>2866488481</v>
      </c>
      <c r="F178" s="366"/>
      <c r="G178" s="324">
        <f>SUM(G171:G177)</f>
        <v>2864529883</v>
      </c>
      <c r="H178" s="366"/>
      <c r="I178" s="324">
        <f>SUM(I171:I177)</f>
        <v>0</v>
      </c>
      <c r="J178" s="366"/>
      <c r="K178" s="324">
        <f>SUM(K171:K177)</f>
        <v>165257</v>
      </c>
      <c r="L178" s="366"/>
      <c r="M178" s="324">
        <f>SUM(M171:M177)</f>
        <v>0</v>
      </c>
      <c r="N178" s="366"/>
      <c r="O178" s="324">
        <f>SUM(O171:O177)</f>
        <v>0</v>
      </c>
      <c r="P178" s="366"/>
      <c r="Q178" s="324">
        <f>SUM(Q171:Q177)</f>
        <v>0</v>
      </c>
      <c r="R178" s="366"/>
      <c r="S178" s="324">
        <f>SUM(S171:S177)</f>
        <v>16384</v>
      </c>
      <c r="T178" s="366"/>
      <c r="U178" s="324">
        <f>SUM(U171:U177)</f>
        <v>254587</v>
      </c>
      <c r="V178" s="367"/>
      <c r="W178" s="324">
        <f>SUM(W171:W177)</f>
        <v>966211</v>
      </c>
      <c r="X178" s="366"/>
      <c r="Y178" s="324">
        <f>SUM(Y171:Y177)</f>
        <v>224087</v>
      </c>
      <c r="Z178" s="366"/>
      <c r="AA178" s="324">
        <f>SUM(AA171:AA177)</f>
        <v>55756</v>
      </c>
      <c r="AB178" s="366"/>
      <c r="AC178" s="324">
        <f>SUM(AC171:AC177)</f>
        <v>0</v>
      </c>
      <c r="AD178" s="366"/>
      <c r="AE178" s="324">
        <f>SUM(AE171:AE177)</f>
        <v>276316</v>
      </c>
      <c r="AF178" s="366"/>
      <c r="AG178" s="324">
        <f>SUM(AG171:AG177)</f>
        <v>0</v>
      </c>
      <c r="AH178" s="366"/>
      <c r="AI178" s="324">
        <f>SUM(AI171:AI177)</f>
        <v>0</v>
      </c>
    </row>
    <row r="180" spans="2:35" hidden="1">
      <c r="B180" s="1477" t="s">
        <v>873</v>
      </c>
      <c r="C180" s="1477"/>
      <c r="D180" s="1477"/>
      <c r="E180" s="1477"/>
      <c r="F180" s="1477"/>
      <c r="G180" s="1477"/>
    </row>
    <row r="181" spans="2:35" hidden="1"/>
    <row r="182" spans="2:35" hidden="1">
      <c r="B182" s="1477" t="s">
        <v>874</v>
      </c>
      <c r="C182" s="1477"/>
      <c r="D182" s="1477"/>
      <c r="E182" s="1477"/>
      <c r="F182" s="1477"/>
      <c r="G182" s="1477"/>
    </row>
    <row r="183" spans="2:35" hidden="1"/>
    <row r="184" spans="2:35">
      <c r="B184" s="318" t="s">
        <v>892</v>
      </c>
    </row>
    <row r="185" spans="2:35" ht="12" thickBot="1">
      <c r="G185" s="335" t="s">
        <v>247</v>
      </c>
    </row>
    <row r="186" spans="2:35" ht="12" thickBot="1">
      <c r="B186" s="334"/>
      <c r="C186" s="251"/>
      <c r="D186" s="1463" t="s">
        <v>860</v>
      </c>
      <c r="E186" s="1464"/>
      <c r="F186" s="1463" t="s">
        <v>17</v>
      </c>
      <c r="G186" s="1464"/>
      <c r="H186" s="1463" t="s">
        <v>18</v>
      </c>
      <c r="I186" s="1464"/>
      <c r="J186" s="1463" t="s">
        <v>19</v>
      </c>
      <c r="K186" s="1464"/>
      <c r="L186" s="1463" t="s">
        <v>20</v>
      </c>
      <c r="M186" s="1464"/>
      <c r="N186" s="1463" t="s">
        <v>21</v>
      </c>
      <c r="O186" s="1464"/>
      <c r="P186" s="1463" t="s">
        <v>22</v>
      </c>
      <c r="Q186" s="1464"/>
      <c r="R186" s="1463" t="s">
        <v>23</v>
      </c>
      <c r="S186" s="1464"/>
      <c r="T186" s="1463" t="s">
        <v>24</v>
      </c>
      <c r="U186" s="1464"/>
      <c r="V186" s="1463" t="s">
        <v>25</v>
      </c>
      <c r="W186" s="1464"/>
      <c r="X186" s="1463" t="s">
        <v>26</v>
      </c>
      <c r="Y186" s="1464"/>
      <c r="Z186" s="1463" t="s">
        <v>27</v>
      </c>
      <c r="AA186" s="1464"/>
      <c r="AB186" s="1463"/>
      <c r="AC186" s="1464"/>
      <c r="AD186" s="1463" t="s">
        <v>1266</v>
      </c>
      <c r="AE186" s="1464"/>
      <c r="AF186" s="1463" t="s">
        <v>30</v>
      </c>
      <c r="AG186" s="1464"/>
      <c r="AH186" s="1463" t="s">
        <v>31</v>
      </c>
      <c r="AI186" s="1464"/>
    </row>
    <row r="187" spans="2:35">
      <c r="B187" s="359" t="s">
        <v>893</v>
      </c>
      <c r="C187" s="244"/>
      <c r="D187" s="351"/>
      <c r="E187" s="352"/>
      <c r="F187" s="351"/>
      <c r="G187" s="352"/>
      <c r="H187" s="351"/>
      <c r="I187" s="352"/>
      <c r="J187" s="351"/>
      <c r="K187" s="352"/>
      <c r="L187" s="351"/>
      <c r="M187" s="352"/>
      <c r="N187" s="351"/>
      <c r="O187" s="352"/>
      <c r="P187" s="351"/>
      <c r="Q187" s="352"/>
      <c r="R187" s="351"/>
      <c r="S187" s="352"/>
      <c r="T187" s="351"/>
      <c r="U187" s="352"/>
      <c r="V187" s="353"/>
      <c r="W187" s="352"/>
      <c r="X187" s="351"/>
      <c r="Y187" s="352"/>
      <c r="Z187" s="351"/>
      <c r="AA187" s="352"/>
      <c r="AB187" s="351"/>
      <c r="AC187" s="352"/>
      <c r="AD187" s="351"/>
      <c r="AE187" s="352"/>
      <c r="AF187" s="351"/>
      <c r="AG187" s="352"/>
      <c r="AH187" s="351"/>
      <c r="AI187" s="352"/>
    </row>
    <row r="188" spans="2:35">
      <c r="B188" s="327" t="s">
        <v>896</v>
      </c>
      <c r="C188" s="244"/>
      <c r="D188" s="237">
        <f>F188+H188+J188+L188+N188+P188+R188+T188+V188+X188+Z188+AB188+AD188+AF188+AH188</f>
        <v>31643840201</v>
      </c>
      <c r="E188" s="352"/>
      <c r="F188" s="354">
        <v>20691058381</v>
      </c>
      <c r="G188" s="352"/>
      <c r="H188" s="354">
        <v>13517626</v>
      </c>
      <c r="I188" s="352"/>
      <c r="J188" s="354">
        <v>3682923601</v>
      </c>
      <c r="K188" s="352"/>
      <c r="L188" s="354">
        <v>170555201</v>
      </c>
      <c r="M188" s="352"/>
      <c r="N188" s="354"/>
      <c r="O188" s="352"/>
      <c r="P188" s="354">
        <v>405400757</v>
      </c>
      <c r="Q188" s="352"/>
      <c r="R188" s="354"/>
      <c r="S188" s="352"/>
      <c r="T188" s="354">
        <v>3137947356</v>
      </c>
      <c r="U188" s="352"/>
      <c r="V188" s="354">
        <v>462542242</v>
      </c>
      <c r="W188" s="352"/>
      <c r="X188" s="354">
        <v>56675</v>
      </c>
      <c r="Y188" s="352"/>
      <c r="Z188" s="354">
        <v>1305174021</v>
      </c>
      <c r="AA188" s="352"/>
      <c r="AB188" s="354"/>
      <c r="AC188" s="352"/>
      <c r="AD188" s="354">
        <v>7514450</v>
      </c>
      <c r="AE188" s="352"/>
      <c r="AF188" s="354">
        <v>1767149891</v>
      </c>
      <c r="AG188" s="352"/>
      <c r="AH188" s="327"/>
      <c r="AI188" s="352"/>
    </row>
    <row r="189" spans="2:35" ht="12" thickBot="1">
      <c r="B189" s="327" t="s">
        <v>895</v>
      </c>
      <c r="C189" s="244"/>
      <c r="D189" s="245">
        <f>F189+H189+J189+L189+N189+P189+R189+T189+V189+X189+Z189+AB189+AD189+AF189+AH189</f>
        <v>0</v>
      </c>
      <c r="E189" s="233">
        <f>+SUM(D188:D189)</f>
        <v>31643840201</v>
      </c>
      <c r="F189" s="235"/>
      <c r="G189" s="233">
        <f>+SUM(F188:F189)</f>
        <v>20691058381</v>
      </c>
      <c r="H189" s="235"/>
      <c r="I189" s="233">
        <f>+SUM(H188:H189)</f>
        <v>13517626</v>
      </c>
      <c r="J189" s="235"/>
      <c r="K189" s="233">
        <f>+SUM(J188:J189)</f>
        <v>3682923601</v>
      </c>
      <c r="L189" s="235"/>
      <c r="M189" s="233">
        <f>+SUM(L188:L189)</f>
        <v>170555201</v>
      </c>
      <c r="N189" s="235"/>
      <c r="O189" s="233">
        <f>+SUM(N188:N189)</f>
        <v>0</v>
      </c>
      <c r="P189" s="235"/>
      <c r="Q189" s="233">
        <f>+SUM(P188:P189)</f>
        <v>405400757</v>
      </c>
      <c r="R189" s="235"/>
      <c r="S189" s="233">
        <f>+SUM(R188:R189)</f>
        <v>0</v>
      </c>
      <c r="T189" s="235"/>
      <c r="U189" s="233">
        <f>+SUM(T188:T189)</f>
        <v>3137947356</v>
      </c>
      <c r="V189" s="355"/>
      <c r="W189" s="233">
        <f>+SUM(V188:V189)</f>
        <v>462542242</v>
      </c>
      <c r="X189" s="235"/>
      <c r="Y189" s="233">
        <f>+SUM(X188:X189)</f>
        <v>56675</v>
      </c>
      <c r="Z189" s="235"/>
      <c r="AA189" s="233">
        <f>+SUM(Z188:Z189)</f>
        <v>1305174021</v>
      </c>
      <c r="AB189" s="235"/>
      <c r="AC189" s="233">
        <f>+SUM(AB188:AB189)</f>
        <v>0</v>
      </c>
      <c r="AD189" s="235"/>
      <c r="AE189" s="233">
        <f>+SUM(AD188:AD189)</f>
        <v>7514450</v>
      </c>
      <c r="AF189" s="235"/>
      <c r="AG189" s="233">
        <f>+SUM(AF188:AF189)</f>
        <v>1767149891</v>
      </c>
      <c r="AH189" s="235"/>
      <c r="AI189" s="233">
        <f>+SUM(AH188:AH189)</f>
        <v>0</v>
      </c>
    </row>
    <row r="190" spans="2:35">
      <c r="B190" s="359" t="s">
        <v>894</v>
      </c>
      <c r="C190" s="244"/>
      <c r="D190" s="327"/>
      <c r="E190" s="233">
        <f>G190+I190+K190+M190+O190+Q190+S190+U190+W190+Y190+AA190+AC190+AE190+AG190+AI190</f>
        <v>0</v>
      </c>
      <c r="F190" s="327"/>
      <c r="G190" s="233"/>
      <c r="H190" s="327"/>
      <c r="I190" s="233"/>
      <c r="J190" s="327"/>
      <c r="K190" s="233"/>
      <c r="L190" s="327"/>
      <c r="M190" s="233"/>
      <c r="N190" s="327"/>
      <c r="O190" s="233"/>
      <c r="P190" s="327"/>
      <c r="Q190" s="233"/>
      <c r="R190" s="327"/>
      <c r="S190" s="233"/>
      <c r="T190" s="327"/>
      <c r="U190" s="233"/>
      <c r="V190" s="354"/>
      <c r="W190" s="233"/>
      <c r="X190" s="327"/>
      <c r="Y190" s="233"/>
      <c r="Z190" s="327"/>
      <c r="AA190" s="233"/>
      <c r="AB190" s="327"/>
      <c r="AC190" s="233"/>
      <c r="AD190" s="327"/>
      <c r="AE190" s="233"/>
      <c r="AF190" s="327"/>
      <c r="AG190" s="233"/>
      <c r="AH190" s="327"/>
      <c r="AI190" s="233"/>
    </row>
    <row r="191" spans="2:35">
      <c r="B191" s="327"/>
      <c r="C191" s="244"/>
      <c r="D191" s="327"/>
      <c r="E191" s="233"/>
      <c r="F191" s="327"/>
      <c r="G191" s="233"/>
      <c r="H191" s="327"/>
      <c r="I191" s="233"/>
      <c r="J191" s="327"/>
      <c r="K191" s="233"/>
      <c r="L191" s="327"/>
      <c r="M191" s="233"/>
      <c r="N191" s="327"/>
      <c r="O191" s="233"/>
      <c r="P191" s="327"/>
      <c r="Q191" s="233"/>
      <c r="R191" s="327"/>
      <c r="S191" s="233"/>
      <c r="T191" s="327"/>
      <c r="U191" s="233"/>
      <c r="V191" s="354"/>
      <c r="W191" s="233"/>
      <c r="X191" s="327"/>
      <c r="Y191" s="233"/>
      <c r="Z191" s="327"/>
      <c r="AA191" s="233"/>
      <c r="AB191" s="327"/>
      <c r="AC191" s="233"/>
      <c r="AD191" s="327"/>
      <c r="AE191" s="233"/>
      <c r="AF191" s="327"/>
      <c r="AG191" s="233"/>
      <c r="AH191" s="327"/>
      <c r="AI191" s="233"/>
    </row>
    <row r="192" spans="2:35" ht="12" thickBot="1">
      <c r="B192" s="368" t="s">
        <v>806</v>
      </c>
      <c r="C192" s="369"/>
      <c r="D192" s="370"/>
      <c r="E192" s="234">
        <f>+E189+E190</f>
        <v>31643840201</v>
      </c>
      <c r="F192" s="370"/>
      <c r="G192" s="234">
        <f>+G189+G190</f>
        <v>20691058381</v>
      </c>
      <c r="H192" s="370"/>
      <c r="I192" s="234">
        <f>+I189+I190</f>
        <v>13517626</v>
      </c>
      <c r="J192" s="370"/>
      <c r="K192" s="234">
        <f>+K189+K190</f>
        <v>3682923601</v>
      </c>
      <c r="L192" s="370"/>
      <c r="M192" s="234">
        <f>+M189+M190</f>
        <v>170555201</v>
      </c>
      <c r="N192" s="370"/>
      <c r="O192" s="234">
        <f>+O189+O190</f>
        <v>0</v>
      </c>
      <c r="P192" s="370"/>
      <c r="Q192" s="234">
        <f>+Q189+Q190</f>
        <v>405400757</v>
      </c>
      <c r="R192" s="370"/>
      <c r="S192" s="234">
        <f>+S189+S190</f>
        <v>0</v>
      </c>
      <c r="T192" s="370"/>
      <c r="U192" s="234">
        <f>+U189+U190</f>
        <v>3137947356</v>
      </c>
      <c r="V192" s="371"/>
      <c r="W192" s="234">
        <f>+W189+W190</f>
        <v>462542242</v>
      </c>
      <c r="X192" s="370"/>
      <c r="Y192" s="234">
        <f>+Y189+Y190</f>
        <v>56675</v>
      </c>
      <c r="Z192" s="370"/>
      <c r="AA192" s="234">
        <f>+AA189+AA190</f>
        <v>1305174021</v>
      </c>
      <c r="AB192" s="370"/>
      <c r="AC192" s="234">
        <f>+AC189+AC190</f>
        <v>0</v>
      </c>
      <c r="AD192" s="370"/>
      <c r="AE192" s="234">
        <f>+AE189+AE190</f>
        <v>7514450</v>
      </c>
      <c r="AF192" s="370"/>
      <c r="AG192" s="234">
        <f>+AG189+AG190</f>
        <v>1767149891</v>
      </c>
      <c r="AH192" s="370"/>
      <c r="AI192" s="234">
        <f>+AI189+AI190</f>
        <v>0</v>
      </c>
    </row>
    <row r="194" spans="2:35" ht="32.25" hidden="1" customHeight="1">
      <c r="B194" s="1475" t="s">
        <v>897</v>
      </c>
      <c r="C194" s="1475"/>
      <c r="D194" s="1475"/>
      <c r="E194" s="1475"/>
      <c r="F194" s="1475"/>
      <c r="G194" s="1475"/>
    </row>
    <row r="195" spans="2:35" hidden="1"/>
    <row r="196" spans="2:35" ht="22.5" hidden="1" customHeight="1">
      <c r="B196" s="1475" t="s">
        <v>898</v>
      </c>
      <c r="C196" s="1475"/>
      <c r="D196" s="1475"/>
      <c r="E196" s="1475"/>
      <c r="F196" s="1475"/>
      <c r="G196" s="1475"/>
    </row>
    <row r="197" spans="2:35" hidden="1"/>
    <row r="198" spans="2:35">
      <c r="B198" s="318" t="s">
        <v>899</v>
      </c>
    </row>
    <row r="199" spans="2:35" ht="12" thickBot="1">
      <c r="G199" s="335" t="s">
        <v>247</v>
      </c>
    </row>
    <row r="200" spans="2:35" ht="12" thickBot="1">
      <c r="B200" s="372" t="s">
        <v>77</v>
      </c>
      <c r="C200" s="251"/>
      <c r="D200" s="1463" t="s">
        <v>860</v>
      </c>
      <c r="E200" s="1464"/>
      <c r="F200" s="1473" t="s">
        <v>17</v>
      </c>
      <c r="G200" s="1474"/>
      <c r="H200" s="1463" t="s">
        <v>18</v>
      </c>
      <c r="I200" s="1464"/>
      <c r="J200" s="1463" t="s">
        <v>19</v>
      </c>
      <c r="K200" s="1464"/>
      <c r="L200" s="1463" t="s">
        <v>20</v>
      </c>
      <c r="M200" s="1464"/>
      <c r="N200" s="1463" t="s">
        <v>21</v>
      </c>
      <c r="O200" s="1464"/>
      <c r="P200" s="1463" t="s">
        <v>22</v>
      </c>
      <c r="Q200" s="1464"/>
      <c r="R200" s="1463" t="s">
        <v>23</v>
      </c>
      <c r="S200" s="1464"/>
      <c r="T200" s="1463" t="s">
        <v>24</v>
      </c>
      <c r="U200" s="1464"/>
      <c r="V200" s="1463" t="s">
        <v>25</v>
      </c>
      <c r="W200" s="1464"/>
      <c r="X200" s="1473" t="s">
        <v>26</v>
      </c>
      <c r="Y200" s="1474"/>
      <c r="Z200" s="1463" t="s">
        <v>27</v>
      </c>
      <c r="AA200" s="1464"/>
      <c r="AB200" s="1463"/>
      <c r="AC200" s="1464"/>
      <c r="AD200" s="1463" t="s">
        <v>1266</v>
      </c>
      <c r="AE200" s="1464"/>
      <c r="AF200" s="1463" t="s">
        <v>30</v>
      </c>
      <c r="AG200" s="1464"/>
      <c r="AH200" s="1463" t="s">
        <v>31</v>
      </c>
      <c r="AI200" s="1464"/>
    </row>
    <row r="201" spans="2:35" ht="24.75" customHeight="1">
      <c r="B201" s="364" t="s">
        <v>148</v>
      </c>
      <c r="C201" s="243"/>
      <c r="D201" s="351"/>
      <c r="E201" s="394">
        <f>G201+I201+K201+M201+O201+Q201+S201+U201+W201+Y201+AA201+AC201+AE201+AG201+AI201</f>
        <v>4915554</v>
      </c>
      <c r="F201" s="351"/>
      <c r="G201" s="882">
        <v>1978847</v>
      </c>
      <c r="H201" s="357"/>
      <c r="I201" s="396">
        <v>-59714</v>
      </c>
      <c r="J201" s="351"/>
      <c r="K201" s="882">
        <v>416567</v>
      </c>
      <c r="L201" s="351"/>
      <c r="M201" s="396">
        <v>236404</v>
      </c>
      <c r="N201" s="353"/>
      <c r="O201" s="233"/>
      <c r="P201" s="351"/>
      <c r="Q201" s="396"/>
      <c r="R201" s="351"/>
      <c r="S201" s="485"/>
      <c r="T201" s="351"/>
      <c r="U201" s="396">
        <v>1834348</v>
      </c>
      <c r="V201" s="353"/>
      <c r="W201" s="239"/>
      <c r="X201" s="351"/>
      <c r="Y201" s="507"/>
      <c r="Z201" s="357"/>
      <c r="AA201" s="396"/>
      <c r="AB201" s="353"/>
      <c r="AC201" s="233"/>
      <c r="AD201" s="351"/>
      <c r="AE201" s="352"/>
      <c r="AF201" s="353"/>
      <c r="AG201" s="233">
        <v>509102</v>
      </c>
      <c r="AH201" s="351"/>
      <c r="AI201" s="352"/>
    </row>
    <row r="202" spans="2:35" ht="21.75">
      <c r="B202" s="364" t="s">
        <v>149</v>
      </c>
      <c r="C202" s="243"/>
      <c r="D202" s="327"/>
      <c r="E202" s="394">
        <f>G202+I202+K202+M202+O202+Q202+S202+U202+W202+Y202+AA202+AC202+AE202+AG202+AI202</f>
        <v>3282872</v>
      </c>
      <c r="F202" s="327"/>
      <c r="G202" s="462">
        <v>850050</v>
      </c>
      <c r="H202" s="360"/>
      <c r="I202" s="352"/>
      <c r="J202" s="327"/>
      <c r="K202" s="233"/>
      <c r="L202" s="327"/>
      <c r="M202" s="396">
        <v>2432822</v>
      </c>
      <c r="N202" s="354"/>
      <c r="O202" s="233"/>
      <c r="P202" s="327"/>
      <c r="Q202" s="233"/>
      <c r="R202" s="327"/>
      <c r="S202" s="352"/>
      <c r="T202" s="327"/>
      <c r="U202" s="233"/>
      <c r="V202" s="354"/>
      <c r="W202" s="239"/>
      <c r="X202" s="327"/>
      <c r="Y202" s="233"/>
      <c r="Z202" s="360"/>
      <c r="AA202" s="233"/>
      <c r="AB202" s="354"/>
      <c r="AC202" s="233"/>
      <c r="AD202" s="327"/>
      <c r="AE202" s="352"/>
      <c r="AF202" s="354"/>
      <c r="AG202" s="233"/>
      <c r="AH202" s="327"/>
      <c r="AI202" s="352"/>
    </row>
    <row r="203" spans="2:35">
      <c r="B203" s="364" t="s">
        <v>150</v>
      </c>
      <c r="C203" s="243"/>
      <c r="D203" s="327"/>
      <c r="E203" s="239">
        <f>G203+I203+K203+M203+O203+Q203+S203+U203+W203+Y203+AA203+AC203+AE203+AG203+AI203</f>
        <v>0</v>
      </c>
      <c r="F203" s="327"/>
      <c r="G203" s="485"/>
      <c r="H203" s="360"/>
      <c r="I203" s="352"/>
      <c r="J203" s="327"/>
      <c r="K203" s="233"/>
      <c r="L203" s="327"/>
      <c r="M203" s="233"/>
      <c r="N203" s="354"/>
      <c r="O203" s="233"/>
      <c r="P203" s="327"/>
      <c r="Q203" s="233"/>
      <c r="R203" s="327"/>
      <c r="S203" s="352"/>
      <c r="T203" s="327"/>
      <c r="U203" s="233"/>
      <c r="V203" s="354"/>
      <c r="W203" s="239"/>
      <c r="X203" s="327"/>
      <c r="Y203" s="352"/>
      <c r="Z203" s="360"/>
      <c r="AA203" s="233"/>
      <c r="AB203" s="354"/>
      <c r="AC203" s="233"/>
      <c r="AD203" s="327"/>
      <c r="AE203" s="352"/>
      <c r="AF203" s="354"/>
      <c r="AG203" s="233"/>
      <c r="AH203" s="327"/>
      <c r="AI203" s="352"/>
    </row>
    <row r="204" spans="2:35">
      <c r="B204" s="364" t="s">
        <v>1232</v>
      </c>
      <c r="C204" s="243"/>
      <c r="D204" s="327"/>
      <c r="E204" s="239"/>
      <c r="F204" s="327"/>
      <c r="G204" s="485"/>
      <c r="H204" s="360"/>
      <c r="I204" s="352"/>
      <c r="J204" s="327"/>
      <c r="K204" s="233"/>
      <c r="L204" s="327"/>
      <c r="M204" s="233"/>
      <c r="N204" s="354"/>
      <c r="O204" s="233"/>
      <c r="P204" s="327"/>
      <c r="Q204" s="233"/>
      <c r="R204" s="327"/>
      <c r="S204" s="352"/>
      <c r="T204" s="327"/>
      <c r="U204" s="233"/>
      <c r="V204" s="354"/>
      <c r="W204" s="239"/>
      <c r="X204" s="327"/>
      <c r="Y204" s="352"/>
      <c r="Z204" s="360"/>
      <c r="AA204" s="233"/>
      <c r="AB204" s="354"/>
      <c r="AC204" s="233"/>
      <c r="AD204" s="327"/>
      <c r="AE204" s="352"/>
      <c r="AF204" s="354"/>
      <c r="AG204" s="233"/>
      <c r="AH204" s="327"/>
      <c r="AI204" s="352"/>
    </row>
    <row r="205" spans="2:35">
      <c r="B205" s="780" t="s">
        <v>1207</v>
      </c>
      <c r="C205" s="243"/>
      <c r="D205" s="237">
        <f t="shared" ref="D205:D206" si="5">F205+H205+J205+L205+N205+P205+R205+T205+V205+X205+Z205+AB205+AD205+AF205+AH205</f>
        <v>2576903322</v>
      </c>
      <c r="E205" s="239"/>
      <c r="F205" s="354">
        <v>2389673113</v>
      </c>
      <c r="G205" s="485"/>
      <c r="H205" s="394">
        <v>14911475</v>
      </c>
      <c r="I205" s="352"/>
      <c r="J205" s="327"/>
      <c r="K205" s="233"/>
      <c r="L205" s="354">
        <v>167655440</v>
      </c>
      <c r="M205" s="233"/>
      <c r="N205" s="354"/>
      <c r="O205" s="233"/>
      <c r="P205" s="327"/>
      <c r="Q205" s="233"/>
      <c r="R205" s="327"/>
      <c r="S205" s="352"/>
      <c r="T205" s="354"/>
      <c r="U205" s="233"/>
      <c r="V205" s="354"/>
      <c r="W205" s="239"/>
      <c r="X205" s="327"/>
      <c r="Y205" s="352"/>
      <c r="Z205" s="360"/>
      <c r="AA205" s="233"/>
      <c r="AB205" s="354"/>
      <c r="AC205" s="233"/>
      <c r="AD205" s="327"/>
      <c r="AE205" s="352"/>
      <c r="AF205" s="354">
        <v>4663294</v>
      </c>
      <c r="AG205" s="233"/>
      <c r="AH205" s="327"/>
      <c r="AI205" s="352"/>
    </row>
    <row r="206" spans="2:35">
      <c r="B206" s="8" t="s">
        <v>1208</v>
      </c>
      <c r="C206" s="243"/>
      <c r="D206" s="448">
        <f t="shared" si="5"/>
        <v>2522614793</v>
      </c>
      <c r="E206" s="239"/>
      <c r="F206" s="806">
        <v>2344127268</v>
      </c>
      <c r="G206" s="485"/>
      <c r="H206" s="806">
        <v>14911475</v>
      </c>
      <c r="I206" s="352"/>
      <c r="J206" s="807"/>
      <c r="K206" s="233"/>
      <c r="L206" s="806">
        <v>163576050</v>
      </c>
      <c r="M206" s="233"/>
      <c r="N206" s="807"/>
      <c r="O206" s="233"/>
      <c r="P206" s="807"/>
      <c r="Q206" s="233"/>
      <c r="R206" s="807"/>
      <c r="S206" s="352"/>
      <c r="T206" s="806"/>
      <c r="U206" s="233"/>
      <c r="V206" s="807"/>
      <c r="W206" s="239"/>
      <c r="X206" s="807"/>
      <c r="Y206" s="352"/>
      <c r="Z206" s="807"/>
      <c r="AA206" s="233"/>
      <c r="AB206" s="807"/>
      <c r="AC206" s="233"/>
      <c r="AD206" s="807"/>
      <c r="AE206" s="352"/>
      <c r="AF206" s="807"/>
      <c r="AG206" s="233"/>
      <c r="AH206" s="807"/>
      <c r="AI206" s="352"/>
    </row>
    <row r="207" spans="2:35">
      <c r="B207" s="17"/>
      <c r="C207" s="243"/>
      <c r="D207" s="237">
        <f>D205-D206</f>
        <v>54288529</v>
      </c>
      <c r="E207" s="239"/>
      <c r="F207" s="354">
        <f>+F205-F206</f>
        <v>45545845</v>
      </c>
      <c r="G207" s="485"/>
      <c r="H207" s="354">
        <f t="shared" ref="H207" si="6">+H205-H206</f>
        <v>0</v>
      </c>
      <c r="I207" s="485"/>
      <c r="J207" s="354">
        <f t="shared" ref="J207" si="7">+J205-J206</f>
        <v>0</v>
      </c>
      <c r="K207" s="485"/>
      <c r="L207" s="354">
        <f t="shared" ref="L207" si="8">+L205-L206</f>
        <v>4079390</v>
      </c>
      <c r="M207" s="485"/>
      <c r="N207" s="354">
        <f t="shared" ref="N207" si="9">+N205-N206</f>
        <v>0</v>
      </c>
      <c r="O207" s="485"/>
      <c r="P207" s="354">
        <f t="shared" ref="P207" si="10">+P205-P206</f>
        <v>0</v>
      </c>
      <c r="Q207" s="485"/>
      <c r="R207" s="354">
        <f t="shared" ref="R207" si="11">+R205-R206</f>
        <v>0</v>
      </c>
      <c r="S207" s="485"/>
      <c r="T207" s="354">
        <f t="shared" ref="T207" si="12">+T205-T206</f>
        <v>0</v>
      </c>
      <c r="U207" s="485"/>
      <c r="V207" s="354">
        <f t="shared" ref="V207" si="13">+V205-V206</f>
        <v>0</v>
      </c>
      <c r="W207" s="485"/>
      <c r="X207" s="354">
        <f t="shared" ref="X207" si="14">+X205-X206</f>
        <v>0</v>
      </c>
      <c r="Y207" s="485"/>
      <c r="Z207" s="354">
        <f t="shared" ref="Z207" si="15">+Z205-Z206</f>
        <v>0</v>
      </c>
      <c r="AA207" s="485"/>
      <c r="AB207" s="354">
        <f t="shared" ref="AB207" si="16">+AB205-AB206</f>
        <v>0</v>
      </c>
      <c r="AC207" s="485"/>
      <c r="AD207" s="354">
        <f t="shared" ref="AD207" si="17">+AD205-AD206</f>
        <v>0</v>
      </c>
      <c r="AE207" s="485"/>
      <c r="AF207" s="354">
        <f t="shared" ref="AF207" si="18">+AF205-AF206</f>
        <v>4663294</v>
      </c>
      <c r="AG207" s="485"/>
      <c r="AH207" s="354">
        <f t="shared" ref="AH207" si="19">+AH205-AH206</f>
        <v>0</v>
      </c>
      <c r="AI207" s="485"/>
    </row>
    <row r="208" spans="2:35">
      <c r="B208" s="1438" t="s">
        <v>966</v>
      </c>
      <c r="C208" s="1439"/>
      <c r="D208" s="237">
        <f>F208+H208+J208+L208+N208+P208+R208+T208+V208+X208+Z208+AB208+AD208+AF208+AH208</f>
        <v>70045409</v>
      </c>
      <c r="E208" s="239"/>
      <c r="F208" s="720">
        <v>44245865</v>
      </c>
      <c r="G208" s="485"/>
      <c r="H208" s="720">
        <v>1618897</v>
      </c>
      <c r="I208" s="352"/>
      <c r="J208" s="720">
        <v>10780</v>
      </c>
      <c r="K208" s="233"/>
      <c r="L208" s="720">
        <v>1018974</v>
      </c>
      <c r="M208" s="233"/>
      <c r="N208" s="720"/>
      <c r="O208" s="233"/>
      <c r="P208" s="720">
        <v>4453898</v>
      </c>
      <c r="Q208" s="233"/>
      <c r="R208" s="720">
        <v>507162</v>
      </c>
      <c r="S208" s="352"/>
      <c r="T208" s="720">
        <v>12301317</v>
      </c>
      <c r="U208" s="233"/>
      <c r="V208" s="720"/>
      <c r="W208" s="239"/>
      <c r="X208" s="720">
        <v>447870</v>
      </c>
      <c r="Y208" s="352"/>
      <c r="Z208" s="720">
        <v>3</v>
      </c>
      <c r="AA208" s="233"/>
      <c r="AB208" s="720"/>
      <c r="AC208" s="233"/>
      <c r="AD208" s="720">
        <v>5440643</v>
      </c>
      <c r="AE208" s="352"/>
      <c r="AF208" s="720"/>
      <c r="AG208" s="233"/>
      <c r="AH208" s="720"/>
      <c r="AI208" s="352"/>
    </row>
    <row r="209" spans="2:35">
      <c r="B209" s="1438" t="s">
        <v>965</v>
      </c>
      <c r="C209" s="1439"/>
      <c r="D209" s="237">
        <f t="shared" ref="D209:D220" si="20">F209+H209+J209+L209+N209+P209+R209+T209+V209+X209+Z209+AB209+AD209+AF209+AH209</f>
        <v>270591055</v>
      </c>
      <c r="E209" s="239"/>
      <c r="F209" s="422"/>
      <c r="G209" s="485"/>
      <c r="H209" s="239"/>
      <c r="I209" s="352"/>
      <c r="J209" s="720">
        <v>18156461</v>
      </c>
      <c r="K209" s="233"/>
      <c r="L209" s="354">
        <v>4289</v>
      </c>
      <c r="M209" s="233"/>
      <c r="N209" s="354"/>
      <c r="O209" s="233"/>
      <c r="P209" s="354"/>
      <c r="Q209" s="233"/>
      <c r="R209" s="354">
        <v>21395767</v>
      </c>
      <c r="S209" s="352"/>
      <c r="T209" s="354">
        <v>93232</v>
      </c>
      <c r="U209" s="233"/>
      <c r="V209" s="354">
        <v>1052327</v>
      </c>
      <c r="W209" s="239"/>
      <c r="X209" s="327"/>
      <c r="Y209" s="233"/>
      <c r="Z209" s="239">
        <v>8482356</v>
      </c>
      <c r="AA209" s="233"/>
      <c r="AB209" s="354"/>
      <c r="AC209" s="233"/>
      <c r="AD209" s="354">
        <v>164948837</v>
      </c>
      <c r="AE209" s="352"/>
      <c r="AF209" s="354">
        <v>56457786</v>
      </c>
      <c r="AG209" s="233"/>
      <c r="AH209" s="327"/>
      <c r="AI209" s="352"/>
    </row>
    <row r="210" spans="2:35">
      <c r="B210" s="373" t="s">
        <v>964</v>
      </c>
      <c r="C210" s="652"/>
      <c r="D210" s="237">
        <f t="shared" si="20"/>
        <v>307374</v>
      </c>
      <c r="E210" s="239"/>
      <c r="F210" s="720">
        <v>307374</v>
      </c>
      <c r="G210" s="485"/>
      <c r="H210" s="239"/>
      <c r="I210" s="352"/>
      <c r="J210" s="720"/>
      <c r="K210" s="233"/>
      <c r="L210" s="354"/>
      <c r="M210" s="233"/>
      <c r="N210" s="354"/>
      <c r="O210" s="233"/>
      <c r="P210" s="354"/>
      <c r="Q210" s="233"/>
      <c r="R210" s="354"/>
      <c r="S210" s="352"/>
      <c r="T210" s="354"/>
      <c r="U210" s="233"/>
      <c r="V210" s="354"/>
      <c r="W210" s="239"/>
      <c r="X210" s="327"/>
      <c r="Y210" s="233"/>
      <c r="Z210" s="239"/>
      <c r="AA210" s="233"/>
      <c r="AB210" s="354"/>
      <c r="AC210" s="233"/>
      <c r="AD210" s="354"/>
      <c r="AE210" s="352"/>
      <c r="AF210" s="354"/>
      <c r="AG210" s="233"/>
      <c r="AH210" s="327"/>
      <c r="AI210" s="352"/>
    </row>
    <row r="211" spans="2:35">
      <c r="B211" s="1438" t="s">
        <v>963</v>
      </c>
      <c r="C211" s="1439"/>
      <c r="D211" s="237">
        <f t="shared" si="20"/>
        <v>10497633</v>
      </c>
      <c r="E211" s="239"/>
      <c r="F211" s="422"/>
      <c r="G211" s="485"/>
      <c r="H211" s="239"/>
      <c r="I211" s="352"/>
      <c r="J211" s="720"/>
      <c r="K211" s="233"/>
      <c r="L211" s="354"/>
      <c r="M211" s="233"/>
      <c r="N211" s="354"/>
      <c r="O211" s="233"/>
      <c r="P211" s="354"/>
      <c r="Q211" s="233"/>
      <c r="R211" s="354">
        <v>277236</v>
      </c>
      <c r="S211" s="352"/>
      <c r="T211" s="354">
        <v>3273278</v>
      </c>
      <c r="U211" s="233"/>
      <c r="V211" s="354"/>
      <c r="W211" s="239"/>
      <c r="X211" s="327"/>
      <c r="Y211" s="233"/>
      <c r="Z211" s="239"/>
      <c r="AA211" s="233"/>
      <c r="AB211" s="354"/>
      <c r="AC211" s="233"/>
      <c r="AD211" s="354"/>
      <c r="AE211" s="352"/>
      <c r="AF211" s="354">
        <v>6947119</v>
      </c>
      <c r="AG211" s="233"/>
      <c r="AH211" s="327"/>
      <c r="AI211" s="352"/>
    </row>
    <row r="212" spans="2:35">
      <c r="B212" s="1438" t="s">
        <v>962</v>
      </c>
      <c r="C212" s="1439"/>
      <c r="D212" s="237">
        <f t="shared" si="20"/>
        <v>4406795</v>
      </c>
      <c r="E212" s="239"/>
      <c r="F212" s="720">
        <v>1490467</v>
      </c>
      <c r="G212" s="485"/>
      <c r="H212" s="239"/>
      <c r="I212" s="352"/>
      <c r="J212" s="720"/>
      <c r="K212" s="233"/>
      <c r="L212" s="354"/>
      <c r="M212" s="233"/>
      <c r="N212" s="354"/>
      <c r="O212" s="233"/>
      <c r="P212" s="354"/>
      <c r="Q212" s="233"/>
      <c r="R212" s="354">
        <v>571916</v>
      </c>
      <c r="S212" s="352"/>
      <c r="T212" s="354"/>
      <c r="U212" s="233"/>
      <c r="V212" s="354"/>
      <c r="W212" s="239"/>
      <c r="X212" s="327"/>
      <c r="Y212" s="233"/>
      <c r="Z212" s="239"/>
      <c r="AA212" s="233"/>
      <c r="AB212" s="354"/>
      <c r="AC212" s="233"/>
      <c r="AD212" s="354"/>
      <c r="AE212" s="352"/>
      <c r="AF212" s="354">
        <v>2344412</v>
      </c>
      <c r="AG212" s="233"/>
      <c r="AH212" s="327"/>
      <c r="AI212" s="352"/>
    </row>
    <row r="213" spans="2:35">
      <c r="B213" s="1438" t="s">
        <v>961</v>
      </c>
      <c r="C213" s="1439"/>
      <c r="D213" s="237">
        <f t="shared" si="20"/>
        <v>1022605864</v>
      </c>
      <c r="E213" s="239"/>
      <c r="F213" s="422"/>
      <c r="G213" s="485"/>
      <c r="H213" s="239">
        <v>6609310</v>
      </c>
      <c r="I213" s="352"/>
      <c r="J213" s="720"/>
      <c r="K213" s="233"/>
      <c r="L213" s="354">
        <v>276115370</v>
      </c>
      <c r="M213" s="233"/>
      <c r="N213" s="354"/>
      <c r="O213" s="233"/>
      <c r="P213" s="354">
        <v>332439274</v>
      </c>
      <c r="Q213" s="233"/>
      <c r="R213" s="354"/>
      <c r="S213" s="352"/>
      <c r="T213" s="354">
        <v>135529900</v>
      </c>
      <c r="U213" s="233"/>
      <c r="V213" s="354">
        <v>146706428</v>
      </c>
      <c r="W213" s="239"/>
      <c r="X213" s="354">
        <v>93881481</v>
      </c>
      <c r="Y213" s="233"/>
      <c r="Z213" s="239"/>
      <c r="AA213" s="233"/>
      <c r="AB213" s="354"/>
      <c r="AC213" s="233"/>
      <c r="AD213" s="354">
        <v>31324101</v>
      </c>
      <c r="AE213" s="352"/>
      <c r="AF213" s="354"/>
      <c r="AG213" s="233"/>
      <c r="AH213" s="327"/>
      <c r="AI213" s="352"/>
    </row>
    <row r="214" spans="2:35">
      <c r="B214" s="1438" t="s">
        <v>960</v>
      </c>
      <c r="C214" s="1439"/>
      <c r="D214" s="237">
        <f t="shared" si="20"/>
        <v>349632933</v>
      </c>
      <c r="E214" s="239"/>
      <c r="F214" s="720">
        <v>29209200</v>
      </c>
      <c r="G214" s="485"/>
      <c r="H214" s="239">
        <v>27704491</v>
      </c>
      <c r="I214" s="352"/>
      <c r="J214" s="720">
        <v>24612845</v>
      </c>
      <c r="K214" s="233"/>
      <c r="L214" s="354">
        <v>90000</v>
      </c>
      <c r="M214" s="233"/>
      <c r="N214" s="354"/>
      <c r="O214" s="233"/>
      <c r="P214" s="354">
        <v>43416480</v>
      </c>
      <c r="Q214" s="233"/>
      <c r="R214" s="354">
        <v>122000</v>
      </c>
      <c r="S214" s="352"/>
      <c r="T214" s="354">
        <v>41967369</v>
      </c>
      <c r="U214" s="233"/>
      <c r="V214" s="354">
        <v>54361544</v>
      </c>
      <c r="W214" s="239"/>
      <c r="X214" s="354">
        <v>68379</v>
      </c>
      <c r="Y214" s="233"/>
      <c r="Z214" s="239">
        <v>2028304</v>
      </c>
      <c r="AA214" s="233"/>
      <c r="AB214" s="354"/>
      <c r="AC214" s="233"/>
      <c r="AD214" s="354">
        <v>22632271</v>
      </c>
      <c r="AE214" s="352"/>
      <c r="AF214" s="354">
        <v>103420050</v>
      </c>
      <c r="AG214" s="233"/>
      <c r="AH214" s="327"/>
      <c r="AI214" s="352"/>
    </row>
    <row r="215" spans="2:35">
      <c r="B215" s="1438" t="s">
        <v>959</v>
      </c>
      <c r="C215" s="1439"/>
      <c r="D215" s="237">
        <f t="shared" si="20"/>
        <v>1987659538</v>
      </c>
      <c r="E215" s="239"/>
      <c r="F215" s="720">
        <v>12097900</v>
      </c>
      <c r="G215" s="485"/>
      <c r="H215" s="239">
        <v>4002178</v>
      </c>
      <c r="I215" s="352"/>
      <c r="J215" s="720">
        <v>36106169</v>
      </c>
      <c r="K215" s="233"/>
      <c r="L215" s="354">
        <v>1756657454</v>
      </c>
      <c r="M215" s="233"/>
      <c r="N215" s="354"/>
      <c r="O215" s="233"/>
      <c r="P215" s="354">
        <v>38287393</v>
      </c>
      <c r="Q215" s="233"/>
      <c r="R215" s="354">
        <v>373590</v>
      </c>
      <c r="S215" s="352"/>
      <c r="T215" s="354">
        <v>20173871</v>
      </c>
      <c r="U215" s="233"/>
      <c r="V215" s="354">
        <v>31979765</v>
      </c>
      <c r="W215" s="239"/>
      <c r="X215" s="354">
        <v>448398</v>
      </c>
      <c r="Y215" s="233"/>
      <c r="Z215" s="239">
        <v>20403103</v>
      </c>
      <c r="AA215" s="233"/>
      <c r="AB215" s="354"/>
      <c r="AC215" s="233"/>
      <c r="AD215" s="354">
        <v>15617639</v>
      </c>
      <c r="AE215" s="352"/>
      <c r="AF215" s="354">
        <v>51512078</v>
      </c>
      <c r="AG215" s="233"/>
      <c r="AH215" s="327"/>
      <c r="AI215" s="352"/>
    </row>
    <row r="216" spans="2:35">
      <c r="B216" s="373" t="s">
        <v>967</v>
      </c>
      <c r="C216" s="652"/>
      <c r="D216" s="237">
        <f t="shared" si="20"/>
        <v>7837086</v>
      </c>
      <c r="E216" s="239"/>
      <c r="F216" s="720">
        <v>1329426</v>
      </c>
      <c r="G216" s="485"/>
      <c r="H216" s="239">
        <v>3625684</v>
      </c>
      <c r="I216" s="352"/>
      <c r="J216" s="720">
        <v>42424</v>
      </c>
      <c r="K216" s="233"/>
      <c r="L216" s="354">
        <v>63948</v>
      </c>
      <c r="M216" s="233"/>
      <c r="N216" s="354"/>
      <c r="O216" s="233"/>
      <c r="P216" s="354"/>
      <c r="Q216" s="233"/>
      <c r="R216" s="354">
        <v>38888</v>
      </c>
      <c r="S216" s="352"/>
      <c r="T216" s="354">
        <v>1260340</v>
      </c>
      <c r="U216" s="233"/>
      <c r="V216" s="354"/>
      <c r="W216" s="239"/>
      <c r="X216" s="354"/>
      <c r="Y216" s="233"/>
      <c r="Z216" s="239">
        <v>1324644</v>
      </c>
      <c r="AA216" s="233"/>
      <c r="AB216" s="354"/>
      <c r="AC216" s="233"/>
      <c r="AD216" s="354">
        <v>1660</v>
      </c>
      <c r="AE216" s="352"/>
      <c r="AF216" s="354">
        <v>1188</v>
      </c>
      <c r="AG216" s="233"/>
      <c r="AH216" s="354">
        <v>148884</v>
      </c>
      <c r="AI216" s="352"/>
    </row>
    <row r="217" spans="2:35">
      <c r="B217" s="1438" t="s">
        <v>968</v>
      </c>
      <c r="C217" s="1439"/>
      <c r="D217" s="237">
        <f t="shared" si="20"/>
        <v>93769688</v>
      </c>
      <c r="E217" s="239"/>
      <c r="F217" s="720">
        <v>39756240</v>
      </c>
      <c r="G217" s="485"/>
      <c r="H217" s="239">
        <v>2144910</v>
      </c>
      <c r="I217" s="352"/>
      <c r="J217" s="720">
        <v>526787</v>
      </c>
      <c r="K217" s="233"/>
      <c r="L217" s="354">
        <v>1425305</v>
      </c>
      <c r="M217" s="233"/>
      <c r="N217" s="354"/>
      <c r="O217" s="233"/>
      <c r="P217" s="354">
        <v>2913731</v>
      </c>
      <c r="Q217" s="233"/>
      <c r="R217" s="354">
        <v>1258936</v>
      </c>
      <c r="S217" s="352"/>
      <c r="T217" s="354">
        <v>640133</v>
      </c>
      <c r="U217" s="233"/>
      <c r="V217" s="354">
        <v>3140549</v>
      </c>
      <c r="W217" s="239"/>
      <c r="X217" s="354">
        <v>1081507</v>
      </c>
      <c r="Y217" s="233"/>
      <c r="Z217" s="239">
        <v>1112237</v>
      </c>
      <c r="AA217" s="233"/>
      <c r="AB217" s="354"/>
      <c r="AC217" s="233"/>
      <c r="AD217" s="354">
        <v>37945554</v>
      </c>
      <c r="AE217" s="352"/>
      <c r="AF217" s="354"/>
      <c r="AG217" s="233"/>
      <c r="AH217" s="354">
        <v>1823799</v>
      </c>
      <c r="AI217" s="352"/>
    </row>
    <row r="218" spans="2:35">
      <c r="B218" s="1438" t="s">
        <v>969</v>
      </c>
      <c r="C218" s="1439"/>
      <c r="D218" s="237">
        <f t="shared" si="20"/>
        <v>0</v>
      </c>
      <c r="E218" s="239"/>
      <c r="F218" s="720">
        <v>-10688416336</v>
      </c>
      <c r="G218" s="485"/>
      <c r="H218" s="239">
        <v>276283385</v>
      </c>
      <c r="I218" s="352"/>
      <c r="J218" s="720">
        <v>-694199935</v>
      </c>
      <c r="K218" s="233"/>
      <c r="L218" s="354">
        <v>2019292602</v>
      </c>
      <c r="M218" s="233"/>
      <c r="N218" s="354"/>
      <c r="O218" s="233"/>
      <c r="P218" s="354">
        <v>205483290</v>
      </c>
      <c r="Q218" s="233"/>
      <c r="R218" s="354">
        <v>-60551334</v>
      </c>
      <c r="S218" s="352"/>
      <c r="T218" s="354">
        <v>8244767013</v>
      </c>
      <c r="U218" s="233"/>
      <c r="V218" s="354">
        <v>-739761770</v>
      </c>
      <c r="W218" s="239"/>
      <c r="X218" s="824">
        <v>-30494628</v>
      </c>
      <c r="Y218" s="233"/>
      <c r="Z218" s="239">
        <v>66182407</v>
      </c>
      <c r="AA218" s="233"/>
      <c r="AB218" s="354"/>
      <c r="AC218" s="233"/>
      <c r="AD218" s="354">
        <v>297028058</v>
      </c>
      <c r="AE218" s="352"/>
      <c r="AF218" s="354">
        <v>1117534879</v>
      </c>
      <c r="AG218" s="233"/>
      <c r="AH218" s="354">
        <v>-13147631</v>
      </c>
      <c r="AI218" s="352"/>
    </row>
    <row r="219" spans="2:35" ht="21.75" customHeight="1">
      <c r="B219" s="662" t="s">
        <v>970</v>
      </c>
      <c r="C219" s="652"/>
      <c r="D219" s="237">
        <f>F219+H219+J219+L219+N219+P219+R219+T219+V219+X219+Z219+AB219+AD219+AF219+AH219</f>
        <v>3150892646</v>
      </c>
      <c r="E219" s="239"/>
      <c r="F219" s="720"/>
      <c r="G219" s="485"/>
      <c r="H219" s="394"/>
      <c r="I219" s="352"/>
      <c r="J219" s="720"/>
      <c r="K219" s="233"/>
      <c r="L219" s="395">
        <v>1537246370</v>
      </c>
      <c r="M219" s="233"/>
      <c r="N219" s="354"/>
      <c r="O219" s="233"/>
      <c r="P219" s="395">
        <v>760882076</v>
      </c>
      <c r="Q219" s="233"/>
      <c r="R219" s="354"/>
      <c r="S219" s="352"/>
      <c r="T219" s="354"/>
      <c r="U219" s="233"/>
      <c r="V219" s="354">
        <v>61709648</v>
      </c>
      <c r="W219" s="239"/>
      <c r="X219" s="354">
        <v>42915916</v>
      </c>
      <c r="Y219" s="233"/>
      <c r="Z219" s="394"/>
      <c r="AA219" s="233"/>
      <c r="AB219" s="354"/>
      <c r="AC219" s="233"/>
      <c r="AD219" s="395">
        <f>274177469+473961167</f>
        <v>748138636</v>
      </c>
      <c r="AE219" s="352"/>
      <c r="AF219" s="395"/>
      <c r="AG219" s="233"/>
      <c r="AH219" s="354"/>
      <c r="AI219" s="352"/>
    </row>
    <row r="220" spans="2:35" ht="12" thickBot="1">
      <c r="B220" s="1438" t="s">
        <v>389</v>
      </c>
      <c r="C220" s="1439"/>
      <c r="D220" s="245">
        <f t="shared" si="20"/>
        <v>1345269653</v>
      </c>
      <c r="E220" s="239">
        <f>SUM(D207:D220)</f>
        <v>8367804203</v>
      </c>
      <c r="F220" s="492">
        <f>132974672+389884919</f>
        <v>522859591</v>
      </c>
      <c r="G220" s="239">
        <f>SUM(F207:F220)</f>
        <v>-9991574428</v>
      </c>
      <c r="H220" s="355">
        <f>40795781-1</f>
        <v>40795780</v>
      </c>
      <c r="I220" s="239">
        <f>SUM(H207:H220)</f>
        <v>362784635</v>
      </c>
      <c r="J220" s="492">
        <v>4245200</v>
      </c>
      <c r="K220" s="239">
        <f>SUM(J207:J220)</f>
        <v>-610499269</v>
      </c>
      <c r="L220" s="355">
        <v>3350000</v>
      </c>
      <c r="M220" s="239">
        <f>SUM(L207:L220)</f>
        <v>5599343702</v>
      </c>
      <c r="N220" s="355"/>
      <c r="O220" s="239">
        <f>SUM(N207:N220)</f>
        <v>0</v>
      </c>
      <c r="P220" s="355">
        <v>217984742</v>
      </c>
      <c r="Q220" s="239">
        <f>SUM(P207:P220)</f>
        <v>1605860884</v>
      </c>
      <c r="R220" s="355"/>
      <c r="S220" s="239">
        <f>SUM(R207:R220)</f>
        <v>-36005839</v>
      </c>
      <c r="T220" s="355">
        <f>20117712+378753349</f>
        <v>398871061</v>
      </c>
      <c r="U220" s="239">
        <f>SUM(T207:T220)</f>
        <v>8858877514</v>
      </c>
      <c r="V220" s="355">
        <v>52027856</v>
      </c>
      <c r="W220" s="239">
        <f>SUM(V207:V220)</f>
        <v>-388783653</v>
      </c>
      <c r="X220" s="355">
        <v>1882026</v>
      </c>
      <c r="Y220" s="239">
        <f>SUM(X207:X220)</f>
        <v>110230949</v>
      </c>
      <c r="Z220" s="355">
        <v>100497874</v>
      </c>
      <c r="AA220" s="233">
        <f>SUM(Z207:Z220)</f>
        <v>200030928</v>
      </c>
      <c r="AB220" s="355"/>
      <c r="AC220" s="239">
        <f>SUM(AB207:AB220)</f>
        <v>0</v>
      </c>
      <c r="AD220" s="355">
        <f>474231743-473961167</f>
        <v>270576</v>
      </c>
      <c r="AE220" s="239">
        <f>SUM(AD207:AD220)</f>
        <v>1323347975</v>
      </c>
      <c r="AF220" s="355">
        <v>2375506</v>
      </c>
      <c r="AG220" s="239">
        <f>SUM(AF207:AF220)</f>
        <v>1345256312</v>
      </c>
      <c r="AH220" s="355">
        <v>109441</v>
      </c>
      <c r="AI220" s="233">
        <f>SUM(AH207:AH220)</f>
        <v>-11065507</v>
      </c>
    </row>
    <row r="221" spans="2:35">
      <c r="B221" s="1438"/>
      <c r="C221" s="1439"/>
      <c r="D221" s="327"/>
      <c r="E221" s="239"/>
      <c r="F221" s="327"/>
      <c r="G221" s="485"/>
      <c r="H221" s="239"/>
      <c r="I221" s="352"/>
      <c r="J221" s="354"/>
      <c r="K221" s="233"/>
      <c r="L221" s="327"/>
      <c r="M221" s="233"/>
      <c r="N221" s="354"/>
      <c r="O221" s="233"/>
      <c r="P221" s="354"/>
      <c r="Q221" s="233"/>
      <c r="R221" s="327"/>
      <c r="S221" s="352"/>
      <c r="T221" s="354"/>
      <c r="U221" s="233"/>
      <c r="V221" s="354"/>
      <c r="W221" s="239"/>
      <c r="X221" s="327"/>
      <c r="Y221" s="233"/>
      <c r="Z221" s="360"/>
      <c r="AA221" s="233"/>
      <c r="AB221" s="354"/>
      <c r="AC221" s="233"/>
      <c r="AD221" s="354"/>
      <c r="AE221" s="352"/>
      <c r="AF221" s="354"/>
      <c r="AG221" s="233"/>
      <c r="AH221" s="354"/>
      <c r="AI221" s="352"/>
    </row>
    <row r="222" spans="2:35">
      <c r="B222" s="1438"/>
      <c r="C222" s="1439"/>
      <c r="D222" s="327"/>
      <c r="E222" s="239"/>
      <c r="F222" s="327"/>
      <c r="G222" s="485"/>
      <c r="H222" s="360"/>
      <c r="I222" s="233"/>
      <c r="J222" s="327"/>
      <c r="K222" s="233"/>
      <c r="L222" s="327"/>
      <c r="M222" s="233"/>
      <c r="N222" s="327"/>
      <c r="O222" s="233"/>
      <c r="P222" s="327"/>
      <c r="Q222" s="233"/>
      <c r="R222" s="327"/>
      <c r="S222" s="233"/>
      <c r="T222" s="327"/>
      <c r="U222" s="233"/>
      <c r="V222" s="354"/>
      <c r="W222" s="239"/>
      <c r="X222" s="327"/>
      <c r="Y222" s="508"/>
      <c r="Z222" s="360"/>
      <c r="AA222" s="233"/>
      <c r="AB222" s="354"/>
      <c r="AC222" s="233"/>
      <c r="AD222" s="327"/>
      <c r="AE222" s="233"/>
      <c r="AF222" s="354"/>
      <c r="AG222" s="233"/>
      <c r="AH222" s="327"/>
      <c r="AI222" s="233"/>
    </row>
    <row r="223" spans="2:35" ht="12" thickBot="1">
      <c r="B223" s="374" t="s">
        <v>806</v>
      </c>
      <c r="C223" s="248"/>
      <c r="D223" s="235"/>
      <c r="E223" s="505">
        <f>+SUM(E201:E222)</f>
        <v>8376002629</v>
      </c>
      <c r="F223" s="235"/>
      <c r="G223" s="234">
        <f>+SUM(G201:G222)</f>
        <v>-9988745531</v>
      </c>
      <c r="H223" s="362"/>
      <c r="I223" s="234">
        <f>+SUM(I201:I222)</f>
        <v>362724921</v>
      </c>
      <c r="J223" s="235"/>
      <c r="K223" s="234">
        <f>+SUM(K201:K222)</f>
        <v>-610082702</v>
      </c>
      <c r="L223" s="235"/>
      <c r="M223" s="234">
        <f>+SUM(M201:M222)</f>
        <v>5602012928</v>
      </c>
      <c r="N223" s="235"/>
      <c r="O223" s="234">
        <f>+SUM(O201:O222)</f>
        <v>0</v>
      </c>
      <c r="P223" s="235"/>
      <c r="Q223" s="234">
        <f>+SUM(Q201:Q222)</f>
        <v>1605860884</v>
      </c>
      <c r="R223" s="235"/>
      <c r="S223" s="234">
        <f>+SUM(S201:S222)</f>
        <v>-36005839</v>
      </c>
      <c r="T223" s="235"/>
      <c r="U223" s="234">
        <f>+SUM(U201:U222)</f>
        <v>8860711862</v>
      </c>
      <c r="V223" s="355"/>
      <c r="W223" s="505">
        <f>+SUM(W201:W222)</f>
        <v>-388783653</v>
      </c>
      <c r="X223" s="235"/>
      <c r="Y223" s="329">
        <f>+SUM(Y201:Y222)</f>
        <v>110230949</v>
      </c>
      <c r="Z223" s="362"/>
      <c r="AA223" s="234">
        <f>+SUM(AA201:AA222)</f>
        <v>200030928</v>
      </c>
      <c r="AB223" s="235"/>
      <c r="AC223" s="234">
        <f>+SUM(AC201:AC222)</f>
        <v>0</v>
      </c>
      <c r="AD223" s="235"/>
      <c r="AE223" s="234">
        <f>+SUM(AE201:AE222)</f>
        <v>1323347975</v>
      </c>
      <c r="AF223" s="235"/>
      <c r="AG223" s="234">
        <f>+SUM(AG201:AG222)</f>
        <v>1345765414</v>
      </c>
      <c r="AH223" s="235"/>
      <c r="AI223" s="234">
        <f>+SUM(AI201:AI222)</f>
        <v>-11065507</v>
      </c>
    </row>
    <row r="225" spans="2:35">
      <c r="B225" s="318" t="s">
        <v>900</v>
      </c>
    </row>
    <row r="226" spans="2:35" ht="12" thickBot="1">
      <c r="G226" s="335" t="s">
        <v>247</v>
      </c>
    </row>
    <row r="227" spans="2:35" ht="12" thickBot="1">
      <c r="B227" s="375" t="s">
        <v>169</v>
      </c>
      <c r="C227" s="274"/>
      <c r="D227" s="1463" t="s">
        <v>860</v>
      </c>
      <c r="E227" s="1464"/>
      <c r="F227" s="1463" t="s">
        <v>17</v>
      </c>
      <c r="G227" s="1464"/>
      <c r="H227" s="1463" t="s">
        <v>18</v>
      </c>
      <c r="I227" s="1464"/>
      <c r="J227" s="1463" t="s">
        <v>19</v>
      </c>
      <c r="K227" s="1464"/>
      <c r="L227" s="1463" t="s">
        <v>20</v>
      </c>
      <c r="M227" s="1464"/>
      <c r="N227" s="1463" t="s">
        <v>21</v>
      </c>
      <c r="O227" s="1464"/>
      <c r="P227" s="1463" t="s">
        <v>22</v>
      </c>
      <c r="Q227" s="1464"/>
      <c r="R227" s="1463" t="s">
        <v>23</v>
      </c>
      <c r="S227" s="1464"/>
      <c r="T227" s="1463" t="s">
        <v>24</v>
      </c>
      <c r="U227" s="1464"/>
      <c r="V227" s="1463" t="s">
        <v>25</v>
      </c>
      <c r="W227" s="1464"/>
      <c r="X227" s="1463" t="s">
        <v>26</v>
      </c>
      <c r="Y227" s="1464"/>
      <c r="Z227" s="1463" t="s">
        <v>27</v>
      </c>
      <c r="AA227" s="1464"/>
      <c r="AB227" s="1473"/>
      <c r="AC227" s="1474"/>
      <c r="AD227" s="1463" t="s">
        <v>1266</v>
      </c>
      <c r="AE227" s="1464"/>
      <c r="AF227" s="1463" t="s">
        <v>30</v>
      </c>
      <c r="AG227" s="1464"/>
      <c r="AH227" s="1463" t="s">
        <v>31</v>
      </c>
      <c r="AI227" s="1464"/>
    </row>
    <row r="228" spans="2:35">
      <c r="B228" s="376" t="s">
        <v>901</v>
      </c>
      <c r="C228" s="251"/>
      <c r="D228" s="351"/>
      <c r="E228" s="356"/>
      <c r="F228" s="357"/>
      <c r="G228" s="356"/>
      <c r="H228" s="357"/>
      <c r="I228" s="356"/>
      <c r="J228" s="357"/>
      <c r="K228" s="356"/>
      <c r="L228" s="357"/>
      <c r="M228" s="356"/>
      <c r="N228" s="357"/>
      <c r="O228" s="356"/>
      <c r="P228" s="357"/>
      <c r="Q228" s="356"/>
      <c r="R228" s="357"/>
      <c r="S228" s="356"/>
      <c r="T228" s="357"/>
      <c r="U228" s="356"/>
      <c r="V228" s="358"/>
      <c r="W228" s="356"/>
      <c r="X228" s="357"/>
      <c r="Y228" s="356"/>
      <c r="Z228" s="357"/>
      <c r="AA228" s="357"/>
      <c r="AB228" s="351"/>
      <c r="AC228" s="356"/>
      <c r="AD228" s="357"/>
      <c r="AE228" s="356"/>
      <c r="AF228" s="357"/>
      <c r="AG228" s="356"/>
      <c r="AH228" s="357"/>
      <c r="AI228" s="356"/>
    </row>
    <row r="229" spans="2:35">
      <c r="B229" s="420" t="s">
        <v>168</v>
      </c>
      <c r="C229" s="244"/>
      <c r="D229" s="237">
        <f t="shared" ref="D229:D239" si="21">F229+H229+J229+L229+N229+P229+R229+T229+V229+X229+Z229+AB229+AD229+AF229+AH229</f>
        <v>51052316</v>
      </c>
      <c r="E229" s="233"/>
      <c r="F229" s="378">
        <f>83016542-38300000</f>
        <v>44716542</v>
      </c>
      <c r="G229" s="352"/>
      <c r="H229" s="239">
        <v>2023211</v>
      </c>
      <c r="I229" s="352"/>
      <c r="J229" s="378">
        <v>25000</v>
      </c>
      <c r="K229" s="352"/>
      <c r="L229" s="491">
        <v>2240243</v>
      </c>
      <c r="M229" s="352"/>
      <c r="N229" s="239"/>
      <c r="O229" s="233"/>
      <c r="P229" s="239">
        <v>103984</v>
      </c>
      <c r="Q229" s="352"/>
      <c r="R229" s="649"/>
      <c r="S229" s="352"/>
      <c r="T229" s="239">
        <v>49000</v>
      </c>
      <c r="U229" s="233"/>
      <c r="V229" s="239">
        <v>307056</v>
      </c>
      <c r="W229" s="352"/>
      <c r="X229" s="239"/>
      <c r="Y229" s="352"/>
      <c r="Z229" s="239">
        <v>17500</v>
      </c>
      <c r="AA229" s="360"/>
      <c r="AB229" s="354"/>
      <c r="AC229" s="233"/>
      <c r="AD229" s="239">
        <v>1569779</v>
      </c>
      <c r="AE229" s="352"/>
      <c r="AF229" s="239">
        <v>1</v>
      </c>
      <c r="AG229" s="352"/>
      <c r="AH229" s="239"/>
      <c r="AI229" s="352"/>
    </row>
    <row r="230" spans="2:35">
      <c r="B230" s="420" t="s">
        <v>166</v>
      </c>
      <c r="C230" s="244"/>
      <c r="D230" s="237">
        <f t="shared" si="21"/>
        <v>29314792</v>
      </c>
      <c r="E230" s="233"/>
      <c r="F230" s="378">
        <v>11260698</v>
      </c>
      <c r="G230" s="352"/>
      <c r="H230" s="239">
        <v>1557245</v>
      </c>
      <c r="I230" s="352"/>
      <c r="J230" s="378">
        <v>273764</v>
      </c>
      <c r="K230" s="352"/>
      <c r="L230" s="491">
        <v>185143</v>
      </c>
      <c r="M230" s="352"/>
      <c r="N230" s="239"/>
      <c r="O230" s="233"/>
      <c r="P230" s="239">
        <v>2968546</v>
      </c>
      <c r="Q230" s="352"/>
      <c r="R230" s="239">
        <v>183006</v>
      </c>
      <c r="S230" s="352"/>
      <c r="T230" s="239">
        <v>1771148</v>
      </c>
      <c r="U230" s="233"/>
      <c r="V230" s="239">
        <v>3224009</v>
      </c>
      <c r="W230" s="352"/>
      <c r="X230" s="239">
        <v>156573</v>
      </c>
      <c r="Y230" s="352"/>
      <c r="Z230" s="239">
        <v>1975301</v>
      </c>
      <c r="AA230" s="360"/>
      <c r="AB230" s="354"/>
      <c r="AC230" s="233"/>
      <c r="AD230" s="239">
        <v>1726497</v>
      </c>
      <c r="AE230" s="352"/>
      <c r="AF230" s="239">
        <v>3709871</v>
      </c>
      <c r="AG230" s="352"/>
      <c r="AH230" s="239">
        <v>322991</v>
      </c>
      <c r="AI230" s="352"/>
    </row>
    <row r="231" spans="2:35" ht="11.25" customHeight="1">
      <c r="B231" s="420" t="s">
        <v>1244</v>
      </c>
      <c r="C231" s="244"/>
      <c r="D231" s="237">
        <f t="shared" si="21"/>
        <v>12552610</v>
      </c>
      <c r="E231" s="233"/>
      <c r="F231" s="378">
        <v>-268122</v>
      </c>
      <c r="G231" s="352"/>
      <c r="H231" s="239">
        <v>5541306</v>
      </c>
      <c r="I231" s="352"/>
      <c r="J231" s="378"/>
      <c r="K231" s="352"/>
      <c r="L231" s="491">
        <v>45510</v>
      </c>
      <c r="M231" s="352"/>
      <c r="N231" s="239"/>
      <c r="O231" s="233"/>
      <c r="P231" s="239">
        <v>1380446</v>
      </c>
      <c r="Q231" s="352"/>
      <c r="R231" s="239">
        <v>152775</v>
      </c>
      <c r="S231" s="352"/>
      <c r="T231" s="239">
        <v>868513</v>
      </c>
      <c r="U231" s="233"/>
      <c r="V231" s="239">
        <v>1795496</v>
      </c>
      <c r="W231" s="352"/>
      <c r="X231" s="239">
        <v>0</v>
      </c>
      <c r="Y231" s="352"/>
      <c r="Z231" s="649">
        <v>438581</v>
      </c>
      <c r="AA231" s="360"/>
      <c r="AB231" s="354"/>
      <c r="AC231" s="233"/>
      <c r="AD231" s="239">
        <v>1315878</v>
      </c>
      <c r="AE231" s="352"/>
      <c r="AF231" s="239">
        <v>1282227</v>
      </c>
      <c r="AG231" s="352"/>
      <c r="AH231" s="239"/>
      <c r="AI231" s="352"/>
    </row>
    <row r="232" spans="2:35">
      <c r="B232" s="420" t="s">
        <v>1258</v>
      </c>
      <c r="C232" s="244"/>
      <c r="D232" s="237">
        <f t="shared" si="21"/>
        <v>65762986</v>
      </c>
      <c r="E232" s="233"/>
      <c r="F232" s="378">
        <v>27845175</v>
      </c>
      <c r="G232" s="352"/>
      <c r="H232" s="239">
        <v>245900</v>
      </c>
      <c r="I232" s="352"/>
      <c r="J232" s="378"/>
      <c r="K232" s="352"/>
      <c r="L232" s="491">
        <v>748978</v>
      </c>
      <c r="M232" s="352"/>
      <c r="N232" s="239"/>
      <c r="O232" s="233"/>
      <c r="P232" s="239">
        <v>4108939</v>
      </c>
      <c r="Q232" s="352"/>
      <c r="R232" s="239">
        <v>1476538</v>
      </c>
      <c r="S232" s="352"/>
      <c r="T232" s="239">
        <v>2655673</v>
      </c>
      <c r="U232" s="233"/>
      <c r="V232" s="239">
        <v>15389966</v>
      </c>
      <c r="W232" s="352"/>
      <c r="X232" s="239">
        <v>21193</v>
      </c>
      <c r="Y232" s="352"/>
      <c r="Z232" s="649">
        <v>3523324</v>
      </c>
      <c r="AA232" s="360"/>
      <c r="AB232" s="354"/>
      <c r="AC232" s="233"/>
      <c r="AD232" s="239">
        <v>5210876</v>
      </c>
      <c r="AE232" s="352"/>
      <c r="AF232" s="239">
        <v>4536424</v>
      </c>
      <c r="AG232" s="352"/>
      <c r="AH232" s="239"/>
      <c r="AI232" s="352"/>
    </row>
    <row r="233" spans="2:35">
      <c r="B233" s="420" t="s">
        <v>165</v>
      </c>
      <c r="C233" s="244"/>
      <c r="D233" s="237">
        <f t="shared" si="21"/>
        <v>28932409</v>
      </c>
      <c r="E233" s="233"/>
      <c r="F233" s="378">
        <v>13207988</v>
      </c>
      <c r="G233" s="352"/>
      <c r="H233" s="239">
        <v>2462708</v>
      </c>
      <c r="I233" s="352"/>
      <c r="J233" s="378">
        <v>189271</v>
      </c>
      <c r="K233" s="352"/>
      <c r="L233" s="491">
        <v>191083</v>
      </c>
      <c r="M233" s="352"/>
      <c r="N233" s="239"/>
      <c r="O233" s="233"/>
      <c r="P233" s="239">
        <v>2049828</v>
      </c>
      <c r="Q233" s="352"/>
      <c r="R233" s="239">
        <v>172054</v>
      </c>
      <c r="S233" s="352"/>
      <c r="T233" s="239">
        <v>1865526</v>
      </c>
      <c r="U233" s="233"/>
      <c r="V233" s="239">
        <v>2088226</v>
      </c>
      <c r="W233" s="352"/>
      <c r="X233" s="239">
        <v>214875</v>
      </c>
      <c r="Y233" s="352"/>
      <c r="Z233" s="239">
        <v>1950810</v>
      </c>
      <c r="AA233" s="360"/>
      <c r="AB233" s="354"/>
      <c r="AC233" s="233"/>
      <c r="AD233" s="239">
        <v>1635807</v>
      </c>
      <c r="AE233" s="352"/>
      <c r="AF233" s="239">
        <v>2372543</v>
      </c>
      <c r="AG233" s="352"/>
      <c r="AH233" s="239">
        <v>531690</v>
      </c>
      <c r="AI233" s="352"/>
    </row>
    <row r="234" spans="2:35">
      <c r="B234" s="420" t="s">
        <v>154</v>
      </c>
      <c r="C234" s="244"/>
      <c r="D234" s="237">
        <f t="shared" si="21"/>
        <v>2167682</v>
      </c>
      <c r="E234" s="233"/>
      <c r="F234" s="238"/>
      <c r="G234" s="352"/>
      <c r="H234" s="239"/>
      <c r="I234" s="352"/>
      <c r="J234" s="238"/>
      <c r="K234" s="352"/>
      <c r="L234" s="491"/>
      <c r="M234" s="352"/>
      <c r="N234" s="239"/>
      <c r="O234" s="233"/>
      <c r="P234" s="239"/>
      <c r="Q234" s="352"/>
      <c r="R234" s="239"/>
      <c r="S234" s="352"/>
      <c r="T234" s="239"/>
      <c r="U234" s="233"/>
      <c r="V234" s="239"/>
      <c r="W234" s="352"/>
      <c r="X234" s="239"/>
      <c r="Y234" s="352"/>
      <c r="Z234" s="239"/>
      <c r="AA234" s="360"/>
      <c r="AB234" s="354"/>
      <c r="AC234" s="233"/>
      <c r="AD234" s="239"/>
      <c r="AE234" s="352"/>
      <c r="AF234" s="239"/>
      <c r="AG234" s="352"/>
      <c r="AH234" s="239">
        <v>2167682</v>
      </c>
      <c r="AI234" s="352"/>
    </row>
    <row r="235" spans="2:35">
      <c r="B235" s="420" t="s">
        <v>155</v>
      </c>
      <c r="C235" s="244"/>
      <c r="D235" s="237">
        <f t="shared" si="21"/>
        <v>0</v>
      </c>
      <c r="E235" s="233"/>
      <c r="F235" s="238"/>
      <c r="G235" s="352"/>
      <c r="H235" s="239"/>
      <c r="I235" s="352"/>
      <c r="J235" s="238"/>
      <c r="K235" s="352"/>
      <c r="L235" s="491"/>
      <c r="M235" s="352"/>
      <c r="N235" s="239"/>
      <c r="O235" s="233"/>
      <c r="P235" s="239"/>
      <c r="Q235" s="352"/>
      <c r="R235" s="239"/>
      <c r="S235" s="352"/>
      <c r="T235" s="239"/>
      <c r="U235" s="233"/>
      <c r="V235" s="239"/>
      <c r="W235" s="352"/>
      <c r="X235" s="239"/>
      <c r="Y235" s="352"/>
      <c r="Z235" s="239"/>
      <c r="AA235" s="360"/>
      <c r="AB235" s="354"/>
      <c r="AC235" s="233"/>
      <c r="AD235" s="239"/>
      <c r="AE235" s="352"/>
      <c r="AF235" s="239"/>
      <c r="AG235" s="352"/>
      <c r="AH235" s="239"/>
      <c r="AI235" s="352"/>
    </row>
    <row r="236" spans="2:35" ht="12.75" customHeight="1">
      <c r="B236" s="864" t="s">
        <v>156</v>
      </c>
      <c r="C236" s="244"/>
      <c r="D236" s="237">
        <f t="shared" si="21"/>
        <v>8335555</v>
      </c>
      <c r="E236" s="233"/>
      <c r="F236" s="238">
        <v>2974903</v>
      </c>
      <c r="G236" s="352"/>
      <c r="H236" s="239">
        <v>775850</v>
      </c>
      <c r="I236" s="352"/>
      <c r="J236" s="238">
        <v>99758</v>
      </c>
      <c r="K236" s="352"/>
      <c r="L236" s="491">
        <v>28117</v>
      </c>
      <c r="M236" s="352"/>
      <c r="N236" s="239"/>
      <c r="O236" s="233"/>
      <c r="P236" s="239">
        <v>688432</v>
      </c>
      <c r="Q236" s="352"/>
      <c r="R236" s="239">
        <v>29525</v>
      </c>
      <c r="S236" s="352"/>
      <c r="T236" s="239">
        <v>649781</v>
      </c>
      <c r="U236" s="233"/>
      <c r="V236" s="239">
        <v>708602</v>
      </c>
      <c r="W236" s="352"/>
      <c r="X236" s="239">
        <v>19123</v>
      </c>
      <c r="Y236" s="352"/>
      <c r="Z236" s="239">
        <v>647156</v>
      </c>
      <c r="AA236" s="360"/>
      <c r="AB236" s="354"/>
      <c r="AC236" s="233"/>
      <c r="AD236" s="239">
        <v>545341</v>
      </c>
      <c r="AE236" s="352"/>
      <c r="AF236" s="239">
        <v>1168967</v>
      </c>
      <c r="AG236" s="352"/>
      <c r="AH236" s="239"/>
      <c r="AI236" s="352"/>
    </row>
    <row r="237" spans="2:35">
      <c r="B237" s="864" t="s">
        <v>1259</v>
      </c>
      <c r="C237" s="244"/>
      <c r="D237" s="237">
        <f t="shared" si="21"/>
        <v>331399</v>
      </c>
      <c r="E237" s="233"/>
      <c r="F237" s="238">
        <v>123896</v>
      </c>
      <c r="G237" s="352"/>
      <c r="H237" s="239">
        <v>26253</v>
      </c>
      <c r="I237" s="352"/>
      <c r="J237" s="238">
        <v>6222</v>
      </c>
      <c r="K237" s="352"/>
      <c r="L237" s="491">
        <v>7709</v>
      </c>
      <c r="M237" s="352"/>
      <c r="N237" s="239"/>
      <c r="O237" s="233"/>
      <c r="P237" s="239">
        <v>29555</v>
      </c>
      <c r="Q237" s="352"/>
      <c r="R237" s="239">
        <v>6302</v>
      </c>
      <c r="S237" s="352"/>
      <c r="T237" s="239">
        <v>34790</v>
      </c>
      <c r="U237" s="233"/>
      <c r="V237" s="239">
        <v>24596</v>
      </c>
      <c r="W237" s="352"/>
      <c r="X237" s="239">
        <v>5662</v>
      </c>
      <c r="Y237" s="352"/>
      <c r="Z237" s="239">
        <v>12277</v>
      </c>
      <c r="AA237" s="360"/>
      <c r="AB237" s="354"/>
      <c r="AC237" s="233"/>
      <c r="AD237" s="239">
        <v>28701</v>
      </c>
      <c r="AE237" s="352"/>
      <c r="AF237" s="239">
        <v>25436</v>
      </c>
      <c r="AG237" s="352"/>
      <c r="AH237" s="239"/>
      <c r="AI237" s="352"/>
    </row>
    <row r="238" spans="2:35">
      <c r="B238" s="420" t="s">
        <v>158</v>
      </c>
      <c r="C238" s="244"/>
      <c r="D238" s="237">
        <f t="shared" si="21"/>
        <v>9425381</v>
      </c>
      <c r="E238" s="233"/>
      <c r="F238" s="238">
        <v>3222389</v>
      </c>
      <c r="G238" s="352"/>
      <c r="H238" s="239">
        <v>791376</v>
      </c>
      <c r="I238" s="352"/>
      <c r="J238" s="238">
        <v>159823</v>
      </c>
      <c r="K238" s="352"/>
      <c r="L238" s="491">
        <v>195153</v>
      </c>
      <c r="M238" s="352"/>
      <c r="N238" s="239"/>
      <c r="O238" s="233"/>
      <c r="P238" s="239">
        <v>539128</v>
      </c>
      <c r="Q238" s="352"/>
      <c r="R238" s="649">
        <v>130300</v>
      </c>
      <c r="S238" s="352"/>
      <c r="T238" s="239">
        <v>1539893</v>
      </c>
      <c r="U238" s="233"/>
      <c r="V238" s="239">
        <v>554203</v>
      </c>
      <c r="W238" s="352"/>
      <c r="X238" s="239">
        <v>152427</v>
      </c>
      <c r="Y238" s="352"/>
      <c r="Z238" s="239">
        <v>498690</v>
      </c>
      <c r="AA238" s="360"/>
      <c r="AB238" s="354"/>
      <c r="AC238" s="233"/>
      <c r="AD238" s="239">
        <v>799745</v>
      </c>
      <c r="AE238" s="352"/>
      <c r="AF238" s="239">
        <v>842254</v>
      </c>
      <c r="AG238" s="352"/>
      <c r="AH238" s="239"/>
      <c r="AI238" s="352"/>
    </row>
    <row r="239" spans="2:35">
      <c r="B239" s="867" t="s">
        <v>1245</v>
      </c>
      <c r="C239" s="244"/>
      <c r="D239" s="237">
        <f t="shared" si="21"/>
        <v>0</v>
      </c>
      <c r="E239" s="233"/>
      <c r="F239" s="238"/>
      <c r="G239" s="352"/>
      <c r="H239" s="239"/>
      <c r="I239" s="352"/>
      <c r="J239" s="239"/>
      <c r="K239" s="352"/>
      <c r="L239" s="491"/>
      <c r="M239" s="352"/>
      <c r="N239" s="239"/>
      <c r="O239" s="233"/>
      <c r="P239" s="239"/>
      <c r="Q239" s="352"/>
      <c r="R239" s="360"/>
      <c r="S239" s="352"/>
      <c r="T239" s="239"/>
      <c r="U239" s="233"/>
      <c r="V239" s="239"/>
      <c r="W239" s="352"/>
      <c r="X239" s="239"/>
      <c r="Y239" s="352"/>
      <c r="Z239" s="239"/>
      <c r="AA239" s="360"/>
      <c r="AB239" s="354"/>
      <c r="AC239" s="233"/>
      <c r="AD239" s="239"/>
      <c r="AE239" s="352"/>
      <c r="AF239" s="239"/>
      <c r="AG239" s="352"/>
      <c r="AH239" s="239"/>
      <c r="AI239" s="352"/>
    </row>
    <row r="240" spans="2:35" ht="12" thickBot="1">
      <c r="B240" s="364"/>
      <c r="C240" s="244"/>
      <c r="D240" s="245"/>
      <c r="E240" s="233">
        <f>+SUM(D229:D240)</f>
        <v>207875130</v>
      </c>
      <c r="F240" s="380"/>
      <c r="G240" s="233">
        <f>+SUM(F229:F240)</f>
        <v>103083469</v>
      </c>
      <c r="H240" s="355"/>
      <c r="I240" s="233">
        <f>+SUM(H229:H240)</f>
        <v>13423849</v>
      </c>
      <c r="J240" s="355"/>
      <c r="K240" s="233">
        <f>+SUM(J229:J240)</f>
        <v>753838</v>
      </c>
      <c r="L240" s="355"/>
      <c r="M240" s="233">
        <f>+SUM(L229:L240)</f>
        <v>3641936</v>
      </c>
      <c r="N240" s="235"/>
      <c r="O240" s="233">
        <f>+SUM(N229:N240)</f>
        <v>0</v>
      </c>
      <c r="P240" s="355"/>
      <c r="Q240" s="233">
        <f>+SUM(P229:P240)</f>
        <v>11868858</v>
      </c>
      <c r="R240" s="235"/>
      <c r="S240" s="233">
        <f>+SUM(R229:R240)</f>
        <v>2150500</v>
      </c>
      <c r="T240" s="355"/>
      <c r="U240" s="233">
        <f>+SUM(T229:T240)</f>
        <v>9434324</v>
      </c>
      <c r="V240" s="355"/>
      <c r="W240" s="233">
        <f>+SUM(V229:V240)</f>
        <v>24092154</v>
      </c>
      <c r="X240" s="235"/>
      <c r="Y240" s="233">
        <f>+SUM(X229:X240)</f>
        <v>569853</v>
      </c>
      <c r="Z240" s="355"/>
      <c r="AA240" s="239">
        <f>+SUM(Z229:Z240)</f>
        <v>9063639</v>
      </c>
      <c r="AB240" s="235"/>
      <c r="AC240" s="233">
        <f>+SUM(AB229:AB240)</f>
        <v>0</v>
      </c>
      <c r="AD240" s="362"/>
      <c r="AE240" s="233">
        <f>+SUM(AD229:AD240)</f>
        <v>12832624</v>
      </c>
      <c r="AF240" s="235"/>
      <c r="AG240" s="233">
        <f>+SUM(AF229:AF240)</f>
        <v>13937723</v>
      </c>
      <c r="AH240" s="235"/>
      <c r="AI240" s="233">
        <f>+SUM(AH229:AH240)</f>
        <v>3022363</v>
      </c>
    </row>
    <row r="241" spans="2:35">
      <c r="B241" s="327"/>
      <c r="C241" s="244"/>
      <c r="D241" s="327"/>
      <c r="E241" s="352"/>
      <c r="F241" s="381"/>
      <c r="G241" s="352"/>
      <c r="H241" s="360"/>
      <c r="I241" s="352"/>
      <c r="J241" s="239"/>
      <c r="K241" s="352"/>
      <c r="L241" s="360"/>
      <c r="M241" s="352"/>
      <c r="N241" s="360"/>
      <c r="O241" s="352"/>
      <c r="P241" s="360"/>
      <c r="Q241" s="352"/>
      <c r="R241" s="360"/>
      <c r="S241" s="352"/>
      <c r="T241" s="360"/>
      <c r="U241" s="352"/>
      <c r="V241" s="239"/>
      <c r="W241" s="352"/>
      <c r="X241" s="360"/>
      <c r="Y241" s="352"/>
      <c r="Z241" s="360"/>
      <c r="AA241" s="360"/>
      <c r="AB241" s="327"/>
      <c r="AC241" s="352"/>
      <c r="AD241" s="360"/>
      <c r="AE241" s="352"/>
      <c r="AF241" s="360"/>
      <c r="AG241" s="352"/>
      <c r="AH241" s="360"/>
      <c r="AI241" s="352"/>
    </row>
    <row r="242" spans="2:35">
      <c r="B242" s="359" t="s">
        <v>887</v>
      </c>
      <c r="C242" s="244"/>
      <c r="D242" s="327"/>
      <c r="E242" s="352"/>
      <c r="F242" s="381"/>
      <c r="G242" s="352"/>
      <c r="H242" s="360"/>
      <c r="I242" s="352"/>
      <c r="J242" s="239"/>
      <c r="K242" s="352"/>
      <c r="L242" s="360"/>
      <c r="M242" s="352"/>
      <c r="N242" s="360"/>
      <c r="O242" s="352"/>
      <c r="P242" s="360"/>
      <c r="Q242" s="352"/>
      <c r="R242" s="360"/>
      <c r="S242" s="352"/>
      <c r="T242" s="360"/>
      <c r="U242" s="352"/>
      <c r="V242" s="239"/>
      <c r="W242" s="352"/>
      <c r="X242" s="360"/>
      <c r="Y242" s="352"/>
      <c r="Z242" s="360"/>
      <c r="AA242" s="360"/>
      <c r="AB242" s="327"/>
      <c r="AC242" s="352"/>
      <c r="AD242" s="360"/>
      <c r="AE242" s="352"/>
      <c r="AF242" s="360"/>
      <c r="AG242" s="352"/>
      <c r="AH242" s="360"/>
      <c r="AI242" s="352"/>
    </row>
    <row r="243" spans="2:35">
      <c r="B243" s="377" t="s">
        <v>159</v>
      </c>
      <c r="C243" s="244"/>
      <c r="D243" s="237">
        <f t="shared" ref="D243:D248" si="22">F243+H243+J243+L243+N243+P243+R243+T243+V243+X243+Z243+AB243+AD243+AF243+AH243</f>
        <v>157500000</v>
      </c>
      <c r="E243" s="352"/>
      <c r="F243" s="238">
        <f>276270000-125800000-1970000+9000000</f>
        <v>157500000</v>
      </c>
      <c r="G243" s="352"/>
      <c r="H243" s="360"/>
      <c r="I243" s="352"/>
      <c r="J243" s="239"/>
      <c r="K243" s="352"/>
      <c r="L243" s="360"/>
      <c r="M243" s="352"/>
      <c r="N243" s="360"/>
      <c r="O243" s="352"/>
      <c r="P243" s="360"/>
      <c r="Q243" s="352"/>
      <c r="R243" s="360"/>
      <c r="S243" s="352"/>
      <c r="T243" s="360"/>
      <c r="U243" s="352"/>
      <c r="V243" s="239"/>
      <c r="W243" s="352"/>
      <c r="X243" s="360"/>
      <c r="Y243" s="352"/>
      <c r="Z243" s="360"/>
      <c r="AA243" s="360"/>
      <c r="AB243" s="327"/>
      <c r="AC243" s="352"/>
      <c r="AD243" s="360"/>
      <c r="AE243" s="352"/>
      <c r="AF243" s="360"/>
      <c r="AG243" s="352"/>
      <c r="AH243" s="360"/>
      <c r="AI243" s="352"/>
    </row>
    <row r="244" spans="2:35">
      <c r="B244" s="377" t="s">
        <v>161</v>
      </c>
      <c r="C244" s="244"/>
      <c r="D244" s="237">
        <f t="shared" si="22"/>
        <v>250000000</v>
      </c>
      <c r="E244" s="233"/>
      <c r="F244" s="238">
        <v>250000000</v>
      </c>
      <c r="G244" s="233"/>
      <c r="H244" s="360"/>
      <c r="I244" s="233"/>
      <c r="J244" s="239"/>
      <c r="K244" s="233"/>
      <c r="L244" s="360"/>
      <c r="M244" s="233"/>
      <c r="N244" s="360"/>
      <c r="O244" s="233"/>
      <c r="P244" s="360"/>
      <c r="Q244" s="233"/>
      <c r="R244" s="360"/>
      <c r="S244" s="233"/>
      <c r="T244" s="360"/>
      <c r="U244" s="233"/>
      <c r="V244" s="239"/>
      <c r="W244" s="233"/>
      <c r="X244" s="360"/>
      <c r="Y244" s="233"/>
      <c r="Z244" s="360"/>
      <c r="AA244" s="239"/>
      <c r="AB244" s="327"/>
      <c r="AC244" s="233"/>
      <c r="AD244" s="360"/>
      <c r="AE244" s="233"/>
      <c r="AF244" s="360"/>
      <c r="AG244" s="233"/>
      <c r="AH244" s="360"/>
      <c r="AI244" s="233"/>
    </row>
    <row r="245" spans="2:35">
      <c r="B245" s="377" t="s">
        <v>162</v>
      </c>
      <c r="C245" s="244"/>
      <c r="D245" s="237">
        <f t="shared" si="22"/>
        <v>50894125</v>
      </c>
      <c r="E245" s="233"/>
      <c r="F245" s="238">
        <v>50894125</v>
      </c>
      <c r="G245" s="233"/>
      <c r="H245" s="360"/>
      <c r="I245" s="233"/>
      <c r="J245" s="239"/>
      <c r="K245" s="233"/>
      <c r="L245" s="360"/>
      <c r="M245" s="233"/>
      <c r="N245" s="360"/>
      <c r="O245" s="233"/>
      <c r="P245" s="360"/>
      <c r="Q245" s="233"/>
      <c r="R245" s="360"/>
      <c r="S245" s="233"/>
      <c r="T245" s="360"/>
      <c r="U245" s="233"/>
      <c r="V245" s="239"/>
      <c r="W245" s="233"/>
      <c r="X245" s="360"/>
      <c r="Y245" s="233"/>
      <c r="Z245" s="360"/>
      <c r="AA245" s="239"/>
      <c r="AB245" s="327"/>
      <c r="AC245" s="233"/>
      <c r="AD245" s="360"/>
      <c r="AE245" s="233"/>
      <c r="AF245" s="360"/>
      <c r="AG245" s="233"/>
      <c r="AH245" s="360"/>
      <c r="AI245" s="233"/>
    </row>
    <row r="246" spans="2:35" ht="10.9" customHeight="1">
      <c r="B246" s="377" t="s">
        <v>163</v>
      </c>
      <c r="C246" s="244"/>
      <c r="D246" s="237">
        <f t="shared" si="22"/>
        <v>667830</v>
      </c>
      <c r="E246" s="243"/>
      <c r="F246" s="244"/>
      <c r="G246" s="243"/>
      <c r="H246" s="244"/>
      <c r="I246" s="243"/>
      <c r="J246" s="341"/>
      <c r="K246" s="243"/>
      <c r="L246" s="244"/>
      <c r="M246" s="243"/>
      <c r="N246" s="244"/>
      <c r="O246" s="243"/>
      <c r="P246" s="244"/>
      <c r="Q246" s="243"/>
      <c r="R246" s="244"/>
      <c r="S246" s="243"/>
      <c r="T246" s="244"/>
      <c r="U246" s="243"/>
      <c r="V246" s="341"/>
      <c r="W246" s="243"/>
      <c r="X246" s="244"/>
      <c r="Y246" s="243"/>
      <c r="Z246" s="244">
        <v>667830</v>
      </c>
      <c r="AA246" s="244"/>
      <c r="AB246" s="237"/>
      <c r="AC246" s="243"/>
      <c r="AD246" s="244"/>
      <c r="AE246" s="243"/>
      <c r="AF246" s="244"/>
      <c r="AG246" s="243"/>
      <c r="AH246" s="244"/>
      <c r="AI246" s="243"/>
    </row>
    <row r="247" spans="2:35" ht="10.9" customHeight="1">
      <c r="B247" s="364" t="s">
        <v>1271</v>
      </c>
      <c r="C247" s="244"/>
      <c r="D247" s="237">
        <f t="shared" si="22"/>
        <v>6142813</v>
      </c>
      <c r="E247" s="243"/>
      <c r="F247" s="244">
        <f>6367283-224470</f>
        <v>6142813</v>
      </c>
      <c r="G247" s="243"/>
      <c r="H247" s="244"/>
      <c r="I247" s="243"/>
      <c r="J247" s="341"/>
      <c r="K247" s="243"/>
      <c r="L247" s="244"/>
      <c r="M247" s="243"/>
      <c r="N247" s="244"/>
      <c r="O247" s="243"/>
      <c r="P247" s="244"/>
      <c r="Q247" s="243"/>
      <c r="R247" s="244"/>
      <c r="S247" s="243"/>
      <c r="T247" s="244"/>
      <c r="U247" s="243"/>
      <c r="V247" s="341"/>
      <c r="W247" s="243"/>
      <c r="X247" s="244"/>
      <c r="Y247" s="243"/>
      <c r="Z247" s="244"/>
      <c r="AA247" s="244"/>
      <c r="AB247" s="237"/>
      <c r="AC247" s="243"/>
      <c r="AD247" s="244"/>
      <c r="AE247" s="243"/>
      <c r="AF247" s="244"/>
      <c r="AG247" s="243"/>
      <c r="AH247" s="244"/>
      <c r="AI247" s="243"/>
    </row>
    <row r="248" spans="2:35" ht="12" thickBot="1">
      <c r="B248" s="377" t="s">
        <v>1272</v>
      </c>
      <c r="C248" s="244"/>
      <c r="D248" s="245">
        <f t="shared" si="22"/>
        <v>321771244</v>
      </c>
      <c r="E248" s="243">
        <f>+SUM(D243:D248)</f>
        <v>786976012</v>
      </c>
      <c r="F248" s="245">
        <v>321771244</v>
      </c>
      <c r="G248" s="243">
        <f>+SUM(F242:F248)</f>
        <v>786308182</v>
      </c>
      <c r="H248" s="245"/>
      <c r="I248" s="243">
        <f>+SUM(H242:H248)</f>
        <v>0</v>
      </c>
      <c r="J248" s="344"/>
      <c r="K248" s="243">
        <f>+SUM(J242:J248)</f>
        <v>0</v>
      </c>
      <c r="L248" s="245"/>
      <c r="M248" s="243">
        <f>+SUM(L242:L248)</f>
        <v>0</v>
      </c>
      <c r="N248" s="245"/>
      <c r="O248" s="243">
        <f>+SUM(N242:N248)</f>
        <v>0</v>
      </c>
      <c r="P248" s="245"/>
      <c r="Q248" s="243">
        <f>+SUM(P242:P248)</f>
        <v>0</v>
      </c>
      <c r="R248" s="245"/>
      <c r="S248" s="243">
        <f>+SUM(R242:R248)</f>
        <v>0</v>
      </c>
      <c r="T248" s="245"/>
      <c r="U248" s="243">
        <f>+SUM(T242:T248)</f>
        <v>0</v>
      </c>
      <c r="V248" s="344"/>
      <c r="W248" s="243">
        <f>+SUM(V242:V248)</f>
        <v>0</v>
      </c>
      <c r="X248" s="245"/>
      <c r="Y248" s="243">
        <f>+SUM(X242:X248)</f>
        <v>0</v>
      </c>
      <c r="Z248" s="245"/>
      <c r="AA248" s="244">
        <f>+SUM(Z242:Z248)</f>
        <v>667830</v>
      </c>
      <c r="AB248" s="245"/>
      <c r="AC248" s="243">
        <f>+SUM(AB242:AB248)</f>
        <v>0</v>
      </c>
      <c r="AD248" s="248"/>
      <c r="AE248" s="243">
        <f>+SUM(AD242:AD248)</f>
        <v>0</v>
      </c>
      <c r="AF248" s="245"/>
      <c r="AG248" s="243">
        <f>+SUM(AF242:AF248)</f>
        <v>0</v>
      </c>
      <c r="AH248" s="245"/>
      <c r="AI248" s="243">
        <f>+SUM(AH242:AH248)</f>
        <v>0</v>
      </c>
    </row>
    <row r="249" spans="2:35">
      <c r="B249" s="382"/>
      <c r="C249" s="244"/>
      <c r="D249" s="249"/>
      <c r="E249" s="243"/>
      <c r="F249" s="249"/>
      <c r="G249" s="243"/>
      <c r="H249" s="249"/>
      <c r="I249" s="243"/>
      <c r="J249" s="383"/>
      <c r="K249" s="243"/>
      <c r="L249" s="249"/>
      <c r="M249" s="243"/>
      <c r="N249" s="249"/>
      <c r="O249" s="243"/>
      <c r="P249" s="249"/>
      <c r="Q249" s="243"/>
      <c r="R249" s="249"/>
      <c r="S249" s="243"/>
      <c r="T249" s="249"/>
      <c r="U249" s="243"/>
      <c r="V249" s="383"/>
      <c r="W249" s="243"/>
      <c r="X249" s="249"/>
      <c r="Y249" s="243"/>
      <c r="Z249" s="249"/>
      <c r="AA249" s="244"/>
      <c r="AB249" s="237"/>
      <c r="AC249" s="243"/>
      <c r="AD249" s="251"/>
      <c r="AE249" s="243"/>
      <c r="AF249" s="249"/>
      <c r="AG249" s="243"/>
      <c r="AH249" s="249"/>
      <c r="AI249" s="243"/>
    </row>
    <row r="250" spans="2:35" s="451" customFormat="1" thickBot="1">
      <c r="B250" s="374" t="s">
        <v>806</v>
      </c>
      <c r="C250" s="517"/>
      <c r="D250" s="264"/>
      <c r="E250" s="518">
        <f>+E240+E248</f>
        <v>994851142</v>
      </c>
      <c r="F250" s="517"/>
      <c r="G250" s="518">
        <f>+G240+G248</f>
        <v>889391651</v>
      </c>
      <c r="H250" s="517"/>
      <c r="I250" s="518">
        <f>+I240+I248</f>
        <v>13423849</v>
      </c>
      <c r="J250" s="519"/>
      <c r="K250" s="518">
        <f>+K240+K248</f>
        <v>753838</v>
      </c>
      <c r="L250" s="517"/>
      <c r="M250" s="518">
        <f>+M240+M248</f>
        <v>3641936</v>
      </c>
      <c r="N250" s="517"/>
      <c r="O250" s="518">
        <f>+O240+O248</f>
        <v>0</v>
      </c>
      <c r="P250" s="517"/>
      <c r="Q250" s="518">
        <f>+Q240+Q248</f>
        <v>11868858</v>
      </c>
      <c r="R250" s="517"/>
      <c r="S250" s="518">
        <f>+S240+S248</f>
        <v>2150500</v>
      </c>
      <c r="T250" s="517"/>
      <c r="U250" s="518">
        <f>+U240+U248</f>
        <v>9434324</v>
      </c>
      <c r="V250" s="519"/>
      <c r="W250" s="518">
        <f>+W240+W248</f>
        <v>24092154</v>
      </c>
      <c r="X250" s="517"/>
      <c r="Y250" s="518">
        <f>+Y240+Y248</f>
        <v>569853</v>
      </c>
      <c r="Z250" s="517"/>
      <c r="AA250" s="520">
        <f>+AA240+AA248</f>
        <v>9731469</v>
      </c>
      <c r="AB250" s="264"/>
      <c r="AC250" s="265">
        <f>+AC240+AC248</f>
        <v>0</v>
      </c>
      <c r="AD250" s="517"/>
      <c r="AE250" s="518">
        <f>+AE240+AE248</f>
        <v>12832624</v>
      </c>
      <c r="AF250" s="517"/>
      <c r="AG250" s="518">
        <f>+AG240+AG248</f>
        <v>13937723</v>
      </c>
      <c r="AH250" s="517"/>
      <c r="AI250" s="518">
        <f>+AI240+AI248</f>
        <v>3022363</v>
      </c>
    </row>
    <row r="252" spans="2:35">
      <c r="B252" s="335" t="s">
        <v>902</v>
      </c>
    </row>
    <row r="254" spans="2:35">
      <c r="B254" s="318"/>
    </row>
    <row r="256" spans="2:35">
      <c r="B256" s="318" t="s">
        <v>50</v>
      </c>
    </row>
    <row r="257" spans="2:8" ht="12" thickBot="1">
      <c r="B257" s="385"/>
      <c r="C257" s="385"/>
      <c r="F257" s="335"/>
      <c r="G257" s="335" t="s">
        <v>247</v>
      </c>
    </row>
    <row r="258" spans="2:8" ht="13.9" customHeight="1" thickBot="1">
      <c r="B258" s="386"/>
      <c r="D258" s="1463" t="s">
        <v>860</v>
      </c>
      <c r="E258" s="1464"/>
      <c r="F258" s="1463" t="s">
        <v>17</v>
      </c>
      <c r="G258" s="1464"/>
    </row>
    <row r="259" spans="2:8">
      <c r="B259" s="387" t="s">
        <v>65</v>
      </c>
      <c r="D259" s="388"/>
      <c r="E259" s="389"/>
      <c r="F259" s="390"/>
      <c r="G259" s="391"/>
      <c r="H259" s="360"/>
    </row>
    <row r="260" spans="2:8">
      <c r="B260" s="392" t="s">
        <v>63</v>
      </c>
      <c r="D260" s="393"/>
      <c r="E260" s="394"/>
      <c r="F260" s="395"/>
      <c r="G260" s="396"/>
      <c r="H260" s="360"/>
    </row>
    <row r="261" spans="2:8">
      <c r="B261" s="345" t="s">
        <v>51</v>
      </c>
      <c r="D261" s="393"/>
      <c r="E261" s="394">
        <v>36309393</v>
      </c>
      <c r="F261" s="395"/>
      <c r="G261" s="396"/>
      <c r="H261" s="360"/>
    </row>
    <row r="262" spans="2:8" ht="18" customHeight="1">
      <c r="B262" s="392" t="s">
        <v>64</v>
      </c>
      <c r="D262" s="393"/>
      <c r="E262" s="394"/>
      <c r="F262" s="395"/>
      <c r="G262" s="396"/>
      <c r="H262" s="360"/>
    </row>
    <row r="263" spans="2:8">
      <c r="B263" s="392" t="s">
        <v>60</v>
      </c>
      <c r="D263" s="393"/>
      <c r="E263" s="394"/>
      <c r="F263" s="395"/>
      <c r="G263" s="396"/>
      <c r="H263" s="360"/>
    </row>
    <row r="264" spans="2:8" ht="48" customHeight="1">
      <c r="B264" s="345" t="s">
        <v>172</v>
      </c>
      <c r="D264" s="393"/>
      <c r="E264" s="394">
        <f>G264</f>
        <v>31445045</v>
      </c>
      <c r="F264" s="395"/>
      <c r="G264" s="396">
        <v>31445045</v>
      </c>
      <c r="H264" s="360"/>
    </row>
    <row r="265" spans="2:8">
      <c r="B265" s="392" t="s">
        <v>61</v>
      </c>
      <c r="D265" s="393"/>
      <c r="E265" s="394"/>
      <c r="F265" s="395"/>
      <c r="G265" s="396"/>
      <c r="H265" s="360"/>
    </row>
    <row r="266" spans="2:8">
      <c r="B266" s="397" t="s">
        <v>180</v>
      </c>
      <c r="D266" s="393"/>
      <c r="E266" s="394"/>
      <c r="F266" s="395"/>
      <c r="G266" s="396"/>
      <c r="H266" s="360"/>
    </row>
    <row r="267" spans="2:8" ht="42">
      <c r="B267" s="345" t="s">
        <v>171</v>
      </c>
      <c r="D267" s="393">
        <f>+F267</f>
        <v>3796854880</v>
      </c>
      <c r="E267" s="394"/>
      <c r="F267" s="395">
        <v>3796854880</v>
      </c>
      <c r="G267" s="396"/>
      <c r="H267" s="360"/>
    </row>
    <row r="268" spans="2:8" ht="21">
      <c r="B268" s="397" t="s">
        <v>181</v>
      </c>
      <c r="D268" s="393"/>
      <c r="E268" s="394"/>
      <c r="F268" s="395"/>
      <c r="G268" s="396"/>
      <c r="H268" s="360"/>
    </row>
    <row r="269" spans="2:8" ht="42.75" thickBot="1">
      <c r="B269" s="345" t="s">
        <v>173</v>
      </c>
      <c r="D269" s="398">
        <f>F269</f>
        <v>130000</v>
      </c>
      <c r="E269" s="394">
        <f>+SUM(D267:D269)</f>
        <v>3796984880</v>
      </c>
      <c r="F269" s="399">
        <v>130000</v>
      </c>
      <c r="G269" s="396">
        <f>+SUM(F267:F269)</f>
        <v>3796984880</v>
      </c>
      <c r="H269" s="360"/>
    </row>
    <row r="270" spans="2:8">
      <c r="B270" s="392" t="s">
        <v>62</v>
      </c>
      <c r="D270" s="393"/>
      <c r="E270" s="394"/>
      <c r="F270" s="395"/>
      <c r="G270" s="396"/>
      <c r="H270" s="360"/>
    </row>
    <row r="271" spans="2:8">
      <c r="B271" s="400" t="s">
        <v>66</v>
      </c>
      <c r="D271" s="393"/>
      <c r="E271" s="394"/>
      <c r="F271" s="395"/>
      <c r="G271" s="396"/>
      <c r="H271" s="360"/>
    </row>
    <row r="272" spans="2:8" ht="42">
      <c r="B272" s="345" t="s">
        <v>174</v>
      </c>
      <c r="D272" s="393">
        <f>F272</f>
        <v>47500000</v>
      </c>
      <c r="E272" s="394"/>
      <c r="F272" s="395">
        <v>47500000</v>
      </c>
      <c r="G272" s="396"/>
      <c r="H272" s="360"/>
    </row>
    <row r="273" spans="2:8" ht="21.75" thickBot="1">
      <c r="B273" s="364" t="s">
        <v>179</v>
      </c>
      <c r="D273" s="398">
        <f>F273</f>
        <v>47499999</v>
      </c>
      <c r="E273" s="394">
        <f>D272-D273</f>
        <v>1</v>
      </c>
      <c r="F273" s="399">
        <v>47499999</v>
      </c>
      <c r="G273" s="396">
        <f>F272-F273</f>
        <v>1</v>
      </c>
      <c r="H273" s="360"/>
    </row>
    <row r="274" spans="2:8">
      <c r="B274" s="364"/>
      <c r="D274" s="395"/>
      <c r="E274" s="394"/>
      <c r="F274" s="395"/>
      <c r="G274" s="396"/>
      <c r="H274" s="360"/>
    </row>
    <row r="275" spans="2:8" ht="21">
      <c r="B275" s="397" t="s">
        <v>182</v>
      </c>
      <c r="D275" s="393"/>
      <c r="E275" s="394"/>
      <c r="F275" s="395"/>
      <c r="G275" s="396"/>
      <c r="H275" s="360"/>
    </row>
    <row r="276" spans="2:8" ht="31.5">
      <c r="B276" s="345" t="s">
        <v>176</v>
      </c>
      <c r="D276" s="393">
        <f>F276</f>
        <v>0</v>
      </c>
      <c r="E276" s="394"/>
      <c r="F276" s="395"/>
      <c r="G276" s="396"/>
      <c r="H276" s="360"/>
    </row>
    <row r="277" spans="2:8" ht="21.75" thickBot="1">
      <c r="B277" s="364" t="s">
        <v>179</v>
      </c>
      <c r="D277" s="398">
        <f>F277</f>
        <v>0</v>
      </c>
      <c r="E277" s="394"/>
      <c r="F277" s="527"/>
      <c r="G277" s="396"/>
      <c r="H277" s="360"/>
    </row>
    <row r="278" spans="2:8">
      <c r="B278" s="364"/>
      <c r="D278" s="393"/>
      <c r="E278" s="394">
        <f>D276-D277</f>
        <v>0</v>
      </c>
      <c r="F278" s="395">
        <f>+F276-F277</f>
        <v>0</v>
      </c>
      <c r="G278" s="396"/>
      <c r="H278" s="360"/>
    </row>
    <row r="279" spans="2:8" ht="21">
      <c r="B279" s="400" t="s">
        <v>67</v>
      </c>
      <c r="D279" s="393"/>
      <c r="E279" s="394"/>
      <c r="F279" s="395"/>
      <c r="G279" s="396"/>
      <c r="H279" s="360"/>
    </row>
    <row r="280" spans="2:8" ht="31.5">
      <c r="B280" s="345" t="s">
        <v>177</v>
      </c>
      <c r="D280" s="393"/>
      <c r="E280" s="394">
        <f>G280</f>
        <v>26000</v>
      </c>
      <c r="F280" s="395"/>
      <c r="G280" s="396">
        <v>26000</v>
      </c>
      <c r="H280" s="360"/>
    </row>
    <row r="281" spans="2:8">
      <c r="B281" s="400" t="s">
        <v>68</v>
      </c>
      <c r="D281" s="393"/>
      <c r="E281" s="394"/>
      <c r="F281" s="395"/>
      <c r="G281" s="396"/>
      <c r="H281" s="360"/>
    </row>
    <row r="282" spans="2:8" ht="42">
      <c r="B282" s="345" t="s">
        <v>178</v>
      </c>
      <c r="D282" s="393"/>
      <c r="E282" s="394">
        <f>G282</f>
        <v>174460000</v>
      </c>
      <c r="F282" s="395"/>
      <c r="G282" s="396">
        <v>174460000</v>
      </c>
      <c r="H282" s="360"/>
    </row>
    <row r="283" spans="2:8">
      <c r="B283" s="400" t="s">
        <v>69</v>
      </c>
      <c r="D283" s="393"/>
      <c r="E283" s="394"/>
      <c r="F283" s="395"/>
      <c r="G283" s="396"/>
      <c r="H283" s="360"/>
    </row>
    <row r="284" spans="2:8" ht="31.5">
      <c r="B284" s="345" t="s">
        <v>52</v>
      </c>
      <c r="D284" s="393"/>
      <c r="E284" s="394">
        <f>G284</f>
        <v>338000000</v>
      </c>
      <c r="F284" s="395"/>
      <c r="G284" s="396">
        <v>338000000</v>
      </c>
      <c r="H284" s="360"/>
    </row>
    <row r="285" spans="2:8">
      <c r="B285" s="400" t="s">
        <v>70</v>
      </c>
      <c r="D285" s="393"/>
      <c r="E285" s="394"/>
      <c r="F285" s="395"/>
      <c r="G285" s="396"/>
      <c r="H285" s="360"/>
    </row>
    <row r="286" spans="2:8" ht="42">
      <c r="B286" s="345" t="s">
        <v>53</v>
      </c>
      <c r="D286" s="393"/>
      <c r="E286" s="394">
        <f>G286</f>
        <v>29874000</v>
      </c>
      <c r="F286" s="395"/>
      <c r="G286" s="396">
        <v>29874000</v>
      </c>
      <c r="H286" s="360"/>
    </row>
    <row r="287" spans="2:8">
      <c r="B287" s="392" t="s">
        <v>71</v>
      </c>
      <c r="D287" s="393"/>
      <c r="E287" s="394"/>
      <c r="F287" s="395"/>
      <c r="G287" s="396"/>
      <c r="H287" s="360"/>
    </row>
    <row r="288" spans="2:8" ht="42">
      <c r="B288" s="345" t="s">
        <v>54</v>
      </c>
      <c r="D288" s="393"/>
      <c r="E288" s="394">
        <f>G288</f>
        <v>30000000</v>
      </c>
      <c r="F288" s="395"/>
      <c r="G288" s="396">
        <v>30000000</v>
      </c>
      <c r="H288" s="360"/>
    </row>
    <row r="289" spans="2:8" ht="21">
      <c r="B289" s="392" t="s">
        <v>72</v>
      </c>
      <c r="D289" s="393"/>
      <c r="E289" s="394"/>
      <c r="F289" s="395"/>
      <c r="G289" s="396"/>
      <c r="H289" s="360"/>
    </row>
    <row r="290" spans="2:8" ht="39" customHeight="1">
      <c r="B290" s="345" t="s">
        <v>55</v>
      </c>
      <c r="D290" s="393">
        <f>F290</f>
        <v>260000000</v>
      </c>
      <c r="E290" s="394"/>
      <c r="F290" s="395">
        <v>260000000</v>
      </c>
      <c r="G290" s="396"/>
      <c r="H290" s="360"/>
    </row>
    <row r="291" spans="2:8" ht="39" customHeight="1">
      <c r="B291" s="1534" t="s">
        <v>1214</v>
      </c>
      <c r="C291" s="1535"/>
      <c r="D291" s="812">
        <f>F291</f>
        <v>241097999</v>
      </c>
      <c r="E291" s="394">
        <f>D290-D291</f>
        <v>18902001</v>
      </c>
      <c r="F291" s="527">
        <v>241097999</v>
      </c>
      <c r="G291" s="396">
        <f>F290-F291</f>
        <v>18902001</v>
      </c>
      <c r="H291" s="360"/>
    </row>
    <row r="292" spans="2:8" ht="15" customHeight="1">
      <c r="B292" s="392" t="s">
        <v>99</v>
      </c>
      <c r="D292" s="393"/>
      <c r="E292" s="394"/>
      <c r="F292" s="395"/>
      <c r="G292" s="396"/>
      <c r="H292" s="360"/>
    </row>
    <row r="293" spans="2:8" ht="31.5">
      <c r="B293" s="345" t="s">
        <v>55</v>
      </c>
      <c r="D293" s="393"/>
      <c r="E293" s="394">
        <f>G293</f>
        <v>572000</v>
      </c>
      <c r="F293" s="395"/>
      <c r="G293" s="396">
        <v>572000</v>
      </c>
      <c r="H293" s="360"/>
    </row>
    <row r="294" spans="2:8">
      <c r="B294" s="345"/>
      <c r="D294" s="393"/>
      <c r="E294" s="394"/>
      <c r="F294" s="395"/>
      <c r="G294" s="396"/>
      <c r="H294" s="360"/>
    </row>
    <row r="295" spans="2:8">
      <c r="B295" s="345"/>
      <c r="D295" s="393"/>
      <c r="E295" s="394"/>
      <c r="F295" s="395"/>
      <c r="G295" s="396"/>
      <c r="H295" s="360"/>
    </row>
    <row r="296" spans="2:8">
      <c r="B296" s="392" t="s">
        <v>1217</v>
      </c>
      <c r="D296" s="393"/>
      <c r="E296" s="394"/>
      <c r="F296" s="395"/>
      <c r="G296" s="396"/>
      <c r="H296" s="360"/>
    </row>
    <row r="297" spans="2:8">
      <c r="B297" s="373" t="s">
        <v>58</v>
      </c>
      <c r="D297" s="393"/>
      <c r="E297" s="394"/>
      <c r="F297" s="395"/>
      <c r="G297" s="396"/>
      <c r="H297" s="360"/>
    </row>
    <row r="298" spans="2:8">
      <c r="B298" s="808" t="s">
        <v>1209</v>
      </c>
      <c r="D298" s="393">
        <f>F298</f>
        <v>0</v>
      </c>
      <c r="E298" s="394"/>
      <c r="F298" s="395"/>
      <c r="G298" s="396"/>
      <c r="H298" s="360"/>
    </row>
    <row r="299" spans="2:8" ht="21">
      <c r="B299" s="401" t="s">
        <v>184</v>
      </c>
      <c r="D299" s="393">
        <f>F299</f>
        <v>0</v>
      </c>
      <c r="E299" s="394"/>
      <c r="F299" s="395">
        <v>0</v>
      </c>
      <c r="G299" s="396"/>
      <c r="H299" s="360"/>
    </row>
    <row r="300" spans="2:8" ht="15" customHeight="1" thickBot="1">
      <c r="B300" s="401" t="s">
        <v>185</v>
      </c>
      <c r="D300" s="398">
        <f>F300</f>
        <v>0</v>
      </c>
      <c r="E300" s="394">
        <f>+SUM(D297:D300)</f>
        <v>0</v>
      </c>
      <c r="F300" s="399">
        <v>0</v>
      </c>
      <c r="G300" s="396">
        <f>+SUM(F297:F300)</f>
        <v>0</v>
      </c>
      <c r="H300" s="360"/>
    </row>
    <row r="301" spans="2:8">
      <c r="B301" s="392" t="s">
        <v>59</v>
      </c>
      <c r="D301" s="393"/>
      <c r="E301" s="394">
        <f>G301</f>
        <v>0</v>
      </c>
      <c r="F301" s="395"/>
      <c r="G301" s="396">
        <v>0</v>
      </c>
      <c r="H301" s="360"/>
    </row>
    <row r="302" spans="2:8" ht="12" thickBot="1">
      <c r="B302" s="665" t="s">
        <v>806</v>
      </c>
      <c r="D302" s="398"/>
      <c r="E302" s="402">
        <f>SUM(E259:E301)</f>
        <v>4456573320</v>
      </c>
      <c r="F302" s="399"/>
      <c r="G302" s="403">
        <f>SUM(G259:G301)</f>
        <v>4420263927</v>
      </c>
      <c r="H302" s="360"/>
    </row>
    <row r="304" spans="2:8" ht="41.45" hidden="1" customHeight="1">
      <c r="B304" s="1484" t="s">
        <v>926</v>
      </c>
      <c r="C304" s="1484"/>
      <c r="D304" s="1484"/>
      <c r="E304" s="1484"/>
      <c r="F304" s="1484"/>
      <c r="G304" s="1484"/>
    </row>
    <row r="306" spans="2:21">
      <c r="B306" s="318" t="s">
        <v>74</v>
      </c>
    </row>
    <row r="308" spans="2:21" ht="12">
      <c r="B308" s="404" t="s">
        <v>1032</v>
      </c>
      <c r="C308" s="404"/>
      <c r="D308" s="404"/>
      <c r="E308" s="404"/>
      <c r="F308" s="404"/>
      <c r="G308" s="404"/>
      <c r="U308" s="405" t="s">
        <v>76</v>
      </c>
    </row>
    <row r="309" spans="2:21" ht="12.75" customHeight="1" thickBot="1">
      <c r="F309" s="335" t="s">
        <v>247</v>
      </c>
      <c r="L309" s="405"/>
    </row>
    <row r="310" spans="2:21" ht="35.450000000000003" customHeight="1" thickBot="1">
      <c r="B310" s="406" t="s">
        <v>77</v>
      </c>
      <c r="C310" s="407"/>
      <c r="D310" s="408" t="s">
        <v>1235</v>
      </c>
      <c r="E310" s="409" t="s">
        <v>1264</v>
      </c>
      <c r="F310" s="866" t="s">
        <v>1237</v>
      </c>
      <c r="I310" s="410"/>
      <c r="J310" s="410"/>
      <c r="K310" s="410"/>
      <c r="L310" s="410"/>
    </row>
    <row r="311" spans="2:21">
      <c r="B311" s="411" t="s">
        <v>78</v>
      </c>
      <c r="D311" s="240">
        <v>-159230000</v>
      </c>
      <c r="E311" s="240">
        <v>45830000</v>
      </c>
      <c r="F311" s="240">
        <f>+D311+E311</f>
        <v>-113400000</v>
      </c>
      <c r="I311" s="412"/>
      <c r="J311" s="244"/>
      <c r="K311" s="244"/>
      <c r="L311" s="244"/>
    </row>
    <row r="312" spans="2:21" hidden="1">
      <c r="B312" s="413" t="s">
        <v>194</v>
      </c>
      <c r="D312" s="241">
        <v>0</v>
      </c>
      <c r="E312" s="241"/>
      <c r="F312" s="241">
        <f t="shared" ref="F312:F318" si="23">+D312+E312</f>
        <v>0</v>
      </c>
      <c r="I312" s="412"/>
      <c r="J312" s="244"/>
      <c r="K312" s="244"/>
      <c r="L312" s="244"/>
    </row>
    <row r="313" spans="2:21">
      <c r="B313" s="413" t="s">
        <v>186</v>
      </c>
      <c r="D313" s="241">
        <v>2403890000</v>
      </c>
      <c r="E313" s="241">
        <v>-136300000</v>
      </c>
      <c r="F313" s="241">
        <f t="shared" si="23"/>
        <v>2267590000</v>
      </c>
      <c r="I313" s="412"/>
      <c r="J313" s="244"/>
      <c r="K313" s="244"/>
      <c r="L313" s="244"/>
    </row>
    <row r="314" spans="2:21">
      <c r="B314" s="413" t="s">
        <v>79</v>
      </c>
      <c r="D314" s="241">
        <v>0</v>
      </c>
      <c r="E314" s="241">
        <v>230000</v>
      </c>
      <c r="F314" s="241">
        <f t="shared" si="23"/>
        <v>230000</v>
      </c>
      <c r="I314" s="412"/>
      <c r="J314" s="244"/>
      <c r="K314" s="244"/>
      <c r="L314" s="244"/>
    </row>
    <row r="315" spans="2:21">
      <c r="B315" s="413" t="s">
        <v>80</v>
      </c>
      <c r="D315" s="241">
        <v>16900000</v>
      </c>
      <c r="E315" s="241">
        <v>-5830000</v>
      </c>
      <c r="F315" s="241">
        <f t="shared" si="23"/>
        <v>11070000</v>
      </c>
      <c r="I315" s="412"/>
      <c r="J315" s="244"/>
      <c r="K315" s="244"/>
      <c r="L315" s="244"/>
    </row>
    <row r="316" spans="2:21">
      <c r="B316" s="413" t="s">
        <v>1276</v>
      </c>
      <c r="D316" s="241">
        <v>0</v>
      </c>
      <c r="E316" s="241">
        <v>111360000</v>
      </c>
      <c r="F316" s="241">
        <f t="shared" si="23"/>
        <v>111360000</v>
      </c>
      <c r="I316" s="412"/>
      <c r="J316" s="244"/>
      <c r="K316" s="244"/>
      <c r="L316" s="244"/>
    </row>
    <row r="317" spans="2:21">
      <c r="B317" s="413" t="s">
        <v>1278</v>
      </c>
      <c r="D317" s="241">
        <v>0</v>
      </c>
      <c r="E317" s="241">
        <v>2120000</v>
      </c>
      <c r="F317" s="241">
        <f t="shared" si="23"/>
        <v>2120000</v>
      </c>
      <c r="I317" s="412"/>
      <c r="J317" s="244"/>
      <c r="K317" s="244"/>
      <c r="L317" s="244"/>
    </row>
    <row r="318" spans="2:21" hidden="1">
      <c r="B318" s="96" t="s">
        <v>527</v>
      </c>
      <c r="D318" s="241">
        <v>0</v>
      </c>
      <c r="E318" s="241"/>
      <c r="F318" s="241">
        <f t="shared" si="23"/>
        <v>0</v>
      </c>
      <c r="I318" s="412"/>
      <c r="J318" s="244"/>
      <c r="K318" s="244"/>
      <c r="L318" s="244"/>
    </row>
    <row r="319" spans="2:21" ht="12" thickBot="1">
      <c r="B319" s="666" t="s">
        <v>860</v>
      </c>
      <c r="C319" s="248"/>
      <c r="D319" s="242">
        <f>SUM(D311:D318)</f>
        <v>2261560000</v>
      </c>
      <c r="E319" s="242">
        <f>SUM(E311:E318)</f>
        <v>17410000</v>
      </c>
      <c r="F319" s="242">
        <f>SUM(F311:F318)</f>
        <v>2278970000</v>
      </c>
      <c r="I319" s="414"/>
      <c r="J319" s="244"/>
      <c r="K319" s="244"/>
      <c r="L319" s="244"/>
    </row>
    <row r="320" spans="2:21">
      <c r="E320" s="241"/>
    </row>
    <row r="321" spans="2:35">
      <c r="B321" s="335" t="s">
        <v>85</v>
      </c>
    </row>
    <row r="322" spans="2:35" ht="12" thickBot="1">
      <c r="G322" s="335" t="s">
        <v>247</v>
      </c>
    </row>
    <row r="323" spans="2:35" ht="12.75" customHeight="1" thickBot="1">
      <c r="B323" s="339"/>
      <c r="C323" s="333"/>
      <c r="D323" s="1463" t="s">
        <v>860</v>
      </c>
      <c r="E323" s="1464"/>
      <c r="F323" s="1463" t="s">
        <v>17</v>
      </c>
      <c r="G323" s="1464"/>
      <c r="H323" s="1463" t="s">
        <v>18</v>
      </c>
      <c r="I323" s="1464"/>
      <c r="J323" s="1463" t="s">
        <v>19</v>
      </c>
      <c r="K323" s="1464"/>
      <c r="L323" s="1463" t="s">
        <v>20</v>
      </c>
      <c r="M323" s="1464"/>
      <c r="N323" s="1463" t="s">
        <v>21</v>
      </c>
      <c r="O323" s="1464"/>
      <c r="P323" s="1463" t="s">
        <v>22</v>
      </c>
      <c r="Q323" s="1464"/>
      <c r="R323" s="1463" t="s">
        <v>23</v>
      </c>
      <c r="S323" s="1464"/>
      <c r="T323" s="1463" t="s">
        <v>24</v>
      </c>
      <c r="U323" s="1464"/>
      <c r="V323" s="1463" t="s">
        <v>25</v>
      </c>
      <c r="W323" s="1464"/>
      <c r="X323" s="1463" t="s">
        <v>26</v>
      </c>
      <c r="Y323" s="1464"/>
      <c r="Z323" s="1463" t="s">
        <v>27</v>
      </c>
      <c r="AA323" s="1464"/>
      <c r="AB323" s="1463"/>
      <c r="AC323" s="1464"/>
      <c r="AD323" s="1463" t="s">
        <v>1266</v>
      </c>
      <c r="AE323" s="1464"/>
      <c r="AF323" s="1463" t="s">
        <v>30</v>
      </c>
      <c r="AG323" s="1464"/>
      <c r="AH323" s="1463" t="s">
        <v>31</v>
      </c>
      <c r="AI323" s="1464"/>
    </row>
    <row r="324" spans="2:35">
      <c r="B324" s="359" t="s">
        <v>94</v>
      </c>
      <c r="C324" s="244"/>
      <c r="D324" s="249"/>
      <c r="E324" s="250"/>
      <c r="F324" s="249"/>
      <c r="G324" s="250"/>
      <c r="H324" s="244"/>
      <c r="I324" s="243"/>
      <c r="J324" s="244"/>
      <c r="K324" s="243"/>
      <c r="L324" s="244"/>
      <c r="M324" s="243"/>
      <c r="N324" s="244"/>
      <c r="O324" s="243"/>
      <c r="P324" s="244"/>
      <c r="Q324" s="243"/>
      <c r="R324" s="244"/>
      <c r="S324" s="243"/>
      <c r="T324" s="244"/>
      <c r="U324" s="243"/>
      <c r="V324" s="341"/>
      <c r="W324" s="243"/>
      <c r="X324" s="244"/>
      <c r="Y324" s="243"/>
      <c r="Z324" s="244"/>
      <c r="AA324" s="243"/>
      <c r="AB324" s="244"/>
      <c r="AC324" s="243"/>
      <c r="AD324" s="244"/>
      <c r="AE324" s="243"/>
      <c r="AF324" s="244"/>
      <c r="AG324" s="243"/>
      <c r="AH324" s="244"/>
      <c r="AI324" s="243"/>
    </row>
    <row r="325" spans="2:35">
      <c r="B325" s="327" t="s">
        <v>86</v>
      </c>
      <c r="C325" s="244"/>
      <c r="D325" s="237">
        <f>F325+H325+J325+L325+N325+P325+R325+T325+V325+X325+Z325+AB325+AD325+AF325+AH325</f>
        <v>0</v>
      </c>
      <c r="E325" s="243"/>
      <c r="F325" s="237"/>
      <c r="G325" s="243"/>
      <c r="H325" s="244"/>
      <c r="I325" s="243"/>
      <c r="J325" s="244"/>
      <c r="K325" s="243"/>
      <c r="L325" s="244"/>
      <c r="M325" s="243"/>
      <c r="N325" s="244"/>
      <c r="O325" s="243"/>
      <c r="P325" s="244"/>
      <c r="Q325" s="243"/>
      <c r="R325" s="244"/>
      <c r="S325" s="243"/>
      <c r="T325" s="244"/>
      <c r="U325" s="243"/>
      <c r="V325" s="341"/>
      <c r="W325" s="243"/>
      <c r="X325" s="244"/>
      <c r="Y325" s="243"/>
      <c r="Z325" s="244"/>
      <c r="AA325" s="243"/>
      <c r="AB325" s="244"/>
      <c r="AC325" s="243"/>
      <c r="AD325" s="244"/>
      <c r="AE325" s="243"/>
      <c r="AF325" s="244"/>
      <c r="AG325" s="243"/>
      <c r="AH325" s="244"/>
      <c r="AI325" s="243"/>
    </row>
    <row r="326" spans="2:35">
      <c r="B326" s="327" t="s">
        <v>87</v>
      </c>
      <c r="C326" s="244"/>
      <c r="D326" s="237">
        <f>F326+H326+J326+L326+N326+P326+R326+T326+V326+X326+Z326+AB326+AD326+AF326+AH326</f>
        <v>501613</v>
      </c>
      <c r="E326" s="243"/>
      <c r="F326" s="237"/>
      <c r="G326" s="243"/>
      <c r="H326" s="244"/>
      <c r="I326" s="243"/>
      <c r="J326" s="244"/>
      <c r="K326" s="243"/>
      <c r="L326" s="244"/>
      <c r="M326" s="243"/>
      <c r="N326" s="244"/>
      <c r="O326" s="243"/>
      <c r="P326" s="244"/>
      <c r="Q326" s="243"/>
      <c r="R326" s="244"/>
      <c r="S326" s="243"/>
      <c r="T326" s="244"/>
      <c r="U326" s="243"/>
      <c r="V326" s="341"/>
      <c r="W326" s="243"/>
      <c r="X326" s="244"/>
      <c r="Y326" s="243"/>
      <c r="Z326" s="244"/>
      <c r="AA326" s="243"/>
      <c r="AB326" s="244"/>
      <c r="AC326" s="243"/>
      <c r="AD326" s="244"/>
      <c r="AE326" s="243"/>
      <c r="AF326" s="244">
        <v>501613</v>
      </c>
      <c r="AG326" s="243"/>
      <c r="AH326" s="244"/>
      <c r="AI326" s="243"/>
    </row>
    <row r="327" spans="2:35" ht="12" thickBot="1">
      <c r="B327" s="327" t="s">
        <v>88</v>
      </c>
      <c r="C327" s="244"/>
      <c r="D327" s="245">
        <f>F327+H327+J327+L327+N327+P327+R327+T327+V327+X327+Z327+AB327+AD327+AF327+AH327</f>
        <v>0</v>
      </c>
      <c r="E327" s="243"/>
      <c r="F327" s="245"/>
      <c r="G327" s="243"/>
      <c r="H327" s="248"/>
      <c r="I327" s="243"/>
      <c r="J327" s="245"/>
      <c r="K327" s="243"/>
      <c r="L327" s="245"/>
      <c r="M327" s="243"/>
      <c r="N327" s="245"/>
      <c r="O327" s="243"/>
      <c r="P327" s="245"/>
      <c r="Q327" s="243"/>
      <c r="R327" s="245"/>
      <c r="S327" s="243"/>
      <c r="T327" s="245"/>
      <c r="U327" s="243"/>
      <c r="V327" s="344"/>
      <c r="W327" s="243"/>
      <c r="X327" s="245"/>
      <c r="Y327" s="243"/>
      <c r="Z327" s="245"/>
      <c r="AA327" s="243"/>
      <c r="AB327" s="245"/>
      <c r="AC327" s="243"/>
      <c r="AD327" s="245"/>
      <c r="AE327" s="243"/>
      <c r="AF327" s="245"/>
      <c r="AG327" s="243"/>
      <c r="AH327" s="245"/>
      <c r="AI327" s="243"/>
    </row>
    <row r="328" spans="2:35">
      <c r="B328" s="327" t="s">
        <v>89</v>
      </c>
      <c r="C328" s="244"/>
      <c r="D328" s="237">
        <f>+SUM(D325:D327)</f>
        <v>501613</v>
      </c>
      <c r="E328" s="243"/>
      <c r="F328" s="237">
        <f>+SUM(F325:F327)</f>
        <v>0</v>
      </c>
      <c r="G328" s="243"/>
      <c r="H328" s="244">
        <f>+SUM(H325:H327)</f>
        <v>0</v>
      </c>
      <c r="I328" s="243"/>
      <c r="J328" s="237">
        <f>+SUM(J325:J327)</f>
        <v>0</v>
      </c>
      <c r="K328" s="243"/>
      <c r="L328" s="237">
        <f>+SUM(L325:L327)</f>
        <v>0</v>
      </c>
      <c r="M328" s="243"/>
      <c r="N328" s="237">
        <f>+SUM(N325:N327)</f>
        <v>0</v>
      </c>
      <c r="O328" s="243"/>
      <c r="P328" s="237">
        <f>+SUM(P325:P327)</f>
        <v>0</v>
      </c>
      <c r="Q328" s="243"/>
      <c r="R328" s="237">
        <f>+SUM(R325:R327)</f>
        <v>0</v>
      </c>
      <c r="S328" s="243"/>
      <c r="T328" s="237">
        <f>+SUM(T325:T327)</f>
        <v>0</v>
      </c>
      <c r="U328" s="243"/>
      <c r="V328" s="348">
        <f>+SUM(V325:V327)</f>
        <v>0</v>
      </c>
      <c r="W328" s="243"/>
      <c r="X328" s="237">
        <f>+SUM(X325:X327)</f>
        <v>0</v>
      </c>
      <c r="Y328" s="243"/>
      <c r="Z328" s="237">
        <f>+SUM(Z325:Z327)</f>
        <v>0</v>
      </c>
      <c r="AA328" s="243"/>
      <c r="AB328" s="237">
        <f>+SUM(AB325:AB327)</f>
        <v>0</v>
      </c>
      <c r="AC328" s="243"/>
      <c r="AD328" s="237">
        <f>+SUM(AD325:AD327)</f>
        <v>0</v>
      </c>
      <c r="AE328" s="243"/>
      <c r="AF328" s="237">
        <f>+SUM(AF325:AF327)</f>
        <v>501613</v>
      </c>
      <c r="AG328" s="243"/>
      <c r="AH328" s="237">
        <f>+SUM(AH325:AH327)</f>
        <v>0</v>
      </c>
      <c r="AI328" s="243"/>
    </row>
    <row r="329" spans="2:35" ht="21.75" thickBot="1">
      <c r="B329" s="327" t="s">
        <v>92</v>
      </c>
      <c r="C329" s="244"/>
      <c r="D329" s="245">
        <f>F329+H329+J329+L329+N329+P329+R329+T329+V329+X329+Z329+AB329+AD329+AF329+AH329</f>
        <v>0</v>
      </c>
      <c r="E329" s="243">
        <f>+D328-D329</f>
        <v>501613</v>
      </c>
      <c r="F329" s="245"/>
      <c r="G329" s="243">
        <f>+F328-F329</f>
        <v>0</v>
      </c>
      <c r="H329" s="248"/>
      <c r="I329" s="243">
        <f>+H328-H329</f>
        <v>0</v>
      </c>
      <c r="J329" s="245"/>
      <c r="K329" s="243">
        <f>+J328-J329</f>
        <v>0</v>
      </c>
      <c r="L329" s="245"/>
      <c r="M329" s="243">
        <f>+L328-L329</f>
        <v>0</v>
      </c>
      <c r="N329" s="245"/>
      <c r="O329" s="243">
        <f>+N328-N329</f>
        <v>0</v>
      </c>
      <c r="P329" s="245"/>
      <c r="Q329" s="243">
        <f>+P328-P329</f>
        <v>0</v>
      </c>
      <c r="R329" s="245"/>
      <c r="S329" s="243">
        <f>+R328-R329</f>
        <v>0</v>
      </c>
      <c r="T329" s="245"/>
      <c r="U329" s="243">
        <f>+T328-T329</f>
        <v>0</v>
      </c>
      <c r="V329" s="344"/>
      <c r="W329" s="243">
        <f>+V328-V329</f>
        <v>0</v>
      </c>
      <c r="X329" s="245"/>
      <c r="Y329" s="243">
        <f>+X328-X329</f>
        <v>0</v>
      </c>
      <c r="Z329" s="245"/>
      <c r="AA329" s="243">
        <f>+Z328-Z329</f>
        <v>0</v>
      </c>
      <c r="AB329" s="245"/>
      <c r="AC329" s="243">
        <f>+AB328-AB329</f>
        <v>0</v>
      </c>
      <c r="AD329" s="245"/>
      <c r="AE329" s="243">
        <f>+AD328-AD329</f>
        <v>0</v>
      </c>
      <c r="AF329" s="245"/>
      <c r="AG329" s="243">
        <f>+AF328-AF329</f>
        <v>501613</v>
      </c>
      <c r="AH329" s="245"/>
      <c r="AI329" s="243">
        <f>+AH328-AH329</f>
        <v>0</v>
      </c>
    </row>
    <row r="330" spans="2:35">
      <c r="B330" s="327"/>
      <c r="C330" s="244"/>
      <c r="D330" s="237"/>
      <c r="E330" s="243"/>
      <c r="F330" s="237"/>
      <c r="G330" s="243"/>
      <c r="H330" s="244"/>
      <c r="I330" s="243"/>
      <c r="J330" s="237"/>
      <c r="K330" s="243"/>
      <c r="L330" s="237"/>
      <c r="M330" s="243"/>
      <c r="N330" s="237"/>
      <c r="O330" s="243"/>
      <c r="P330" s="237"/>
      <c r="Q330" s="243"/>
      <c r="R330" s="237"/>
      <c r="S330" s="243"/>
      <c r="T330" s="237"/>
      <c r="U330" s="243"/>
      <c r="V330" s="348"/>
      <c r="W330" s="243"/>
      <c r="X330" s="237"/>
      <c r="Y330" s="243"/>
      <c r="Z330" s="237"/>
      <c r="AA330" s="243"/>
      <c r="AB330" s="237"/>
      <c r="AC330" s="243"/>
      <c r="AD330" s="237"/>
      <c r="AE330" s="243"/>
      <c r="AF330" s="237"/>
      <c r="AG330" s="243"/>
      <c r="AH330" s="237"/>
      <c r="AI330" s="243"/>
    </row>
    <row r="331" spans="2:35">
      <c r="B331" s="872" t="s">
        <v>95</v>
      </c>
      <c r="C331" s="244"/>
      <c r="D331" s="237"/>
      <c r="E331" s="243"/>
      <c r="F331" s="237"/>
      <c r="G331" s="243"/>
      <c r="H331" s="244"/>
      <c r="I331" s="243"/>
      <c r="J331" s="237"/>
      <c r="K331" s="243"/>
      <c r="L331" s="237"/>
      <c r="M331" s="243"/>
      <c r="N331" s="237"/>
      <c r="O331" s="243"/>
      <c r="P331" s="237"/>
      <c r="Q331" s="243"/>
      <c r="R331" s="237"/>
      <c r="S331" s="243"/>
      <c r="T331" s="237"/>
      <c r="U331" s="243"/>
      <c r="V331" s="348"/>
      <c r="W331" s="243"/>
      <c r="X331" s="237"/>
      <c r="Y331" s="243"/>
      <c r="Z331" s="237"/>
      <c r="AA331" s="243"/>
      <c r="AB331" s="237"/>
      <c r="AC331" s="243"/>
      <c r="AD331" s="237"/>
      <c r="AE331" s="243"/>
      <c r="AF331" s="237"/>
      <c r="AG331" s="243"/>
      <c r="AH331" s="237"/>
      <c r="AI331" s="243"/>
    </row>
    <row r="332" spans="2:35">
      <c r="B332" s="382" t="s">
        <v>96</v>
      </c>
      <c r="C332" s="244"/>
      <c r="D332" s="237">
        <f>F332+H332+J332+L332+N332+P332+R332+T332+V332+X332+Z332+AB332+AD332+AF332+AH332</f>
        <v>106305400</v>
      </c>
      <c r="E332" s="243"/>
      <c r="F332" s="237"/>
      <c r="G332" s="243"/>
      <c r="H332" s="244"/>
      <c r="I332" s="243"/>
      <c r="J332" s="237"/>
      <c r="K332" s="243"/>
      <c r="L332" s="237"/>
      <c r="M332" s="243"/>
      <c r="N332" s="237"/>
      <c r="O332" s="243"/>
      <c r="P332" s="237"/>
      <c r="Q332" s="243"/>
      <c r="R332" s="237"/>
      <c r="S332" s="243"/>
      <c r="T332" s="237"/>
      <c r="U332" s="243"/>
      <c r="V332" s="348"/>
      <c r="W332" s="243"/>
      <c r="X332" s="237"/>
      <c r="Y332" s="243"/>
      <c r="Z332" s="237">
        <v>106305400</v>
      </c>
      <c r="AA332" s="243"/>
      <c r="AB332" s="237"/>
      <c r="AC332" s="243"/>
      <c r="AD332" s="237"/>
      <c r="AE332" s="243"/>
      <c r="AF332" s="237"/>
      <c r="AG332" s="243"/>
      <c r="AH332" s="237"/>
      <c r="AI332" s="243"/>
    </row>
    <row r="333" spans="2:35">
      <c r="B333" s="382" t="s">
        <v>975</v>
      </c>
      <c r="C333" s="244"/>
      <c r="D333" s="237">
        <f>F333+H333+J333+L333+N333+P333+R333+T333+V333+X333+Z333+AB333+AD333+AF333+AH333</f>
        <v>19371376</v>
      </c>
      <c r="E333" s="243"/>
      <c r="F333" s="237"/>
      <c r="G333" s="243"/>
      <c r="H333" s="244"/>
      <c r="I333" s="243"/>
      <c r="J333" s="237"/>
      <c r="K333" s="243"/>
      <c r="L333" s="237"/>
      <c r="M333" s="243"/>
      <c r="N333" s="237"/>
      <c r="O333" s="243"/>
      <c r="P333" s="237">
        <v>6674690</v>
      </c>
      <c r="Q333" s="243"/>
      <c r="R333" s="237">
        <v>39997</v>
      </c>
      <c r="S333" s="243"/>
      <c r="T333" s="237"/>
      <c r="U333" s="243"/>
      <c r="V333" s="348"/>
      <c r="W333" s="243"/>
      <c r="X333" s="237">
        <v>440994</v>
      </c>
      <c r="Y333" s="243"/>
      <c r="Z333" s="237"/>
      <c r="AA333" s="243"/>
      <c r="AB333" s="237"/>
      <c r="AC333" s="243"/>
      <c r="AD333" s="237"/>
      <c r="AE333" s="243"/>
      <c r="AF333" s="237">
        <v>11275540</v>
      </c>
      <c r="AG333" s="243"/>
      <c r="AH333" s="237">
        <v>940155</v>
      </c>
      <c r="AI333" s="243"/>
    </row>
    <row r="334" spans="2:35" ht="12" thickBot="1">
      <c r="B334" s="327" t="s">
        <v>976</v>
      </c>
      <c r="C334" s="244"/>
      <c r="D334" s="245">
        <f>F334+H334+J334+L334+N334+P334+R334+T334+V334+X334+Z334+AB334+AD334+AF334+AH334</f>
        <v>18761861</v>
      </c>
      <c r="E334" s="243"/>
      <c r="F334" s="245">
        <v>14975900</v>
      </c>
      <c r="G334" s="243"/>
      <c r="H334" s="248"/>
      <c r="I334" s="243"/>
      <c r="J334" s="245"/>
      <c r="K334" s="243"/>
      <c r="L334" s="245"/>
      <c r="M334" s="243"/>
      <c r="N334" s="245"/>
      <c r="O334" s="243"/>
      <c r="P334" s="245">
        <v>3162349</v>
      </c>
      <c r="Q334" s="243"/>
      <c r="R334" s="245"/>
      <c r="S334" s="243"/>
      <c r="T334" s="245"/>
      <c r="U334" s="243"/>
      <c r="V334" s="344"/>
      <c r="W334" s="243"/>
      <c r="X334" s="245"/>
      <c r="Y334" s="243"/>
      <c r="Z334" s="245"/>
      <c r="AA334" s="243"/>
      <c r="AB334" s="245"/>
      <c r="AC334" s="243"/>
      <c r="AD334" s="245">
        <v>623612</v>
      </c>
      <c r="AE334" s="243"/>
      <c r="AF334" s="245"/>
      <c r="AG334" s="243"/>
      <c r="AH334" s="245"/>
      <c r="AI334" s="243"/>
    </row>
    <row r="335" spans="2:35">
      <c r="B335" s="327" t="s">
        <v>93</v>
      </c>
      <c r="C335" s="244"/>
      <c r="D335" s="237">
        <f>+SUM(D332:D334)</f>
        <v>144438637</v>
      </c>
      <c r="E335" s="243"/>
      <c r="F335" s="237">
        <f>+SUM(F332:F334)</f>
        <v>14975900</v>
      </c>
      <c r="G335" s="243"/>
      <c r="H335" s="244">
        <f>+SUM(H332:H334)</f>
        <v>0</v>
      </c>
      <c r="I335" s="243"/>
      <c r="J335" s="237">
        <f>+SUM(J332:J334)</f>
        <v>0</v>
      </c>
      <c r="K335" s="243"/>
      <c r="L335" s="237">
        <f>+SUM(L332:L334)</f>
        <v>0</v>
      </c>
      <c r="M335" s="243"/>
      <c r="N335" s="237">
        <f>+SUM(N332:N334)</f>
        <v>0</v>
      </c>
      <c r="O335" s="243"/>
      <c r="P335" s="237">
        <f>+SUM(P332:P334)</f>
        <v>9837039</v>
      </c>
      <c r="Q335" s="243"/>
      <c r="R335" s="237">
        <f>+SUM(R332:R334)</f>
        <v>39997</v>
      </c>
      <c r="S335" s="243"/>
      <c r="T335" s="237">
        <f>+SUM(T332:T334)</f>
        <v>0</v>
      </c>
      <c r="U335" s="243"/>
      <c r="V335" s="348">
        <f>+SUM(V332:V334)</f>
        <v>0</v>
      </c>
      <c r="W335" s="243"/>
      <c r="X335" s="237">
        <f>+SUM(X332:X334)</f>
        <v>440994</v>
      </c>
      <c r="Y335" s="243"/>
      <c r="Z335" s="237">
        <f>+SUM(Z332:Z334)</f>
        <v>106305400</v>
      </c>
      <c r="AA335" s="243"/>
      <c r="AB335" s="237">
        <f>+SUM(AB332:AB334)</f>
        <v>0</v>
      </c>
      <c r="AC335" s="243"/>
      <c r="AD335" s="237">
        <f>+SUM(AD332:AD334)</f>
        <v>623612</v>
      </c>
      <c r="AE335" s="243"/>
      <c r="AF335" s="237">
        <f>+SUM(AF332:AF334)</f>
        <v>11275540</v>
      </c>
      <c r="AG335" s="243"/>
      <c r="AH335" s="237">
        <f>+SUM(AH332:AH334)</f>
        <v>940155</v>
      </c>
      <c r="AI335" s="243"/>
    </row>
    <row r="336" spans="2:35" ht="21.75" thickBot="1">
      <c r="B336" s="327" t="s">
        <v>92</v>
      </c>
      <c r="C336" s="244"/>
      <c r="D336" s="245">
        <f>F336+H336+J336+L336+N336+P336+R336+T336+V336+X336+Z336+AB336+AD336+AF336+AH336</f>
        <v>18761861</v>
      </c>
      <c r="E336" s="243">
        <f>+D335-D336</f>
        <v>125676776</v>
      </c>
      <c r="F336" s="245">
        <f>+F334</f>
        <v>14975900</v>
      </c>
      <c r="G336" s="243">
        <f>+F335-F336</f>
        <v>0</v>
      </c>
      <c r="H336" s="248"/>
      <c r="I336" s="243">
        <f>+H335-H336</f>
        <v>0</v>
      </c>
      <c r="J336" s="245"/>
      <c r="K336" s="243">
        <f>+J335-J336</f>
        <v>0</v>
      </c>
      <c r="L336" s="245"/>
      <c r="M336" s="243">
        <f>+L335-L336</f>
        <v>0</v>
      </c>
      <c r="N336" s="245"/>
      <c r="O336" s="243">
        <f>+N335-N336</f>
        <v>0</v>
      </c>
      <c r="P336" s="245">
        <f>P334</f>
        <v>3162349</v>
      </c>
      <c r="Q336" s="243">
        <f>+P335-P336</f>
        <v>6674690</v>
      </c>
      <c r="R336" s="245"/>
      <c r="S336" s="243">
        <f>+R335-R336</f>
        <v>39997</v>
      </c>
      <c r="T336" s="245"/>
      <c r="U336" s="243">
        <f>+T335-T336</f>
        <v>0</v>
      </c>
      <c r="V336" s="344"/>
      <c r="W336" s="243">
        <f>+V335-V336</f>
        <v>0</v>
      </c>
      <c r="X336" s="245"/>
      <c r="Y336" s="243">
        <f>+X335-X336</f>
        <v>440994</v>
      </c>
      <c r="Z336" s="245"/>
      <c r="AA336" s="243">
        <f>+Z335-Z336</f>
        <v>106305400</v>
      </c>
      <c r="AB336" s="245">
        <f>AB334</f>
        <v>0</v>
      </c>
      <c r="AC336" s="243">
        <f>+AB335-AB336</f>
        <v>0</v>
      </c>
      <c r="AD336" s="245">
        <f>AD334</f>
        <v>623612</v>
      </c>
      <c r="AE336" s="243">
        <f>+AD335-AD336</f>
        <v>0</v>
      </c>
      <c r="AF336" s="245"/>
      <c r="AG336" s="243">
        <f>+AF335-AF336</f>
        <v>11275540</v>
      </c>
      <c r="AH336" s="245"/>
      <c r="AI336" s="243">
        <f>+AH335-AH336</f>
        <v>940155</v>
      </c>
    </row>
    <row r="337" spans="2:35">
      <c r="B337" s="327"/>
      <c r="C337" s="244"/>
      <c r="D337" s="237"/>
      <c r="E337" s="243"/>
      <c r="F337" s="237"/>
      <c r="G337" s="243"/>
      <c r="H337" s="244"/>
      <c r="I337" s="243"/>
      <c r="J337" s="237"/>
      <c r="K337" s="243"/>
      <c r="L337" s="237"/>
      <c r="M337" s="243"/>
      <c r="N337" s="237"/>
      <c r="O337" s="243"/>
      <c r="P337" s="237"/>
      <c r="Q337" s="243"/>
      <c r="R337" s="237"/>
      <c r="S337" s="243"/>
      <c r="T337" s="237"/>
      <c r="U337" s="243"/>
      <c r="V337" s="348"/>
      <c r="W337" s="243"/>
      <c r="X337" s="237"/>
      <c r="Y337" s="243"/>
      <c r="Z337" s="237"/>
      <c r="AA337" s="243"/>
      <c r="AB337" s="237"/>
      <c r="AC337" s="243"/>
      <c r="AD337" s="237"/>
      <c r="AE337" s="243"/>
      <c r="AF337" s="237"/>
      <c r="AG337" s="243"/>
      <c r="AH337" s="237"/>
      <c r="AI337" s="243"/>
    </row>
    <row r="338" spans="2:35" ht="21">
      <c r="B338" s="415" t="s">
        <v>101</v>
      </c>
      <c r="C338" s="382"/>
      <c r="D338" s="382"/>
      <c r="E338" s="416"/>
      <c r="F338" s="382"/>
      <c r="G338" s="416"/>
      <c r="H338" s="244"/>
      <c r="I338" s="243"/>
      <c r="J338" s="237"/>
      <c r="K338" s="243"/>
      <c r="L338" s="237"/>
      <c r="M338" s="243"/>
      <c r="N338" s="237"/>
      <c r="O338" s="243"/>
      <c r="P338" s="237"/>
      <c r="Q338" s="243"/>
      <c r="R338" s="237"/>
      <c r="S338" s="243"/>
      <c r="T338" s="237"/>
      <c r="U338" s="243"/>
      <c r="V338" s="348"/>
      <c r="W338" s="243"/>
      <c r="X338" s="237"/>
      <c r="Y338" s="243"/>
      <c r="Z338" s="237"/>
      <c r="AA338" s="243"/>
      <c r="AB338" s="237"/>
      <c r="AC338" s="243"/>
      <c r="AD338" s="237"/>
      <c r="AE338" s="243"/>
      <c r="AF338" s="237"/>
      <c r="AG338" s="243"/>
      <c r="AH338" s="237"/>
      <c r="AI338" s="243"/>
    </row>
    <row r="339" spans="2:35">
      <c r="B339" s="382" t="s">
        <v>96</v>
      </c>
      <c r="C339" s="382"/>
      <c r="D339" s="237">
        <f>F339+H339+J339+L339+N339+P339+R339+T339+V339+X339+Z339+AB339+AD339+AF339+AH339</f>
        <v>0</v>
      </c>
      <c r="E339" s="416"/>
      <c r="F339" s="417"/>
      <c r="G339" s="416"/>
      <c r="H339" s="244"/>
      <c r="I339" s="243"/>
      <c r="J339" s="237"/>
      <c r="K339" s="243"/>
      <c r="L339" s="237"/>
      <c r="M339" s="243"/>
      <c r="N339" s="237"/>
      <c r="O339" s="243"/>
      <c r="P339" s="237"/>
      <c r="Q339" s="243"/>
      <c r="R339" s="237"/>
      <c r="S339" s="243"/>
      <c r="T339" s="237"/>
      <c r="U339" s="243"/>
      <c r="V339" s="348"/>
      <c r="W339" s="243"/>
      <c r="X339" s="237"/>
      <c r="Y339" s="243"/>
      <c r="Z339" s="237"/>
      <c r="AA339" s="243"/>
      <c r="AB339" s="237"/>
      <c r="AC339" s="243"/>
      <c r="AD339" s="237"/>
      <c r="AE339" s="243"/>
      <c r="AF339" s="237"/>
      <c r="AG339" s="243"/>
      <c r="AH339" s="237"/>
      <c r="AI339" s="243"/>
    </row>
    <row r="340" spans="2:35">
      <c r="B340" s="382" t="s">
        <v>975</v>
      </c>
      <c r="C340" s="382"/>
      <c r="D340" s="237">
        <f>F340+H340+J340+L340+N340+P340+R340+T340+V340+X340+Z340+AB340+AD340+AF340+AH340</f>
        <v>237201801</v>
      </c>
      <c r="E340" s="416"/>
      <c r="F340" s="237">
        <v>237201801</v>
      </c>
      <c r="G340" s="243"/>
      <c r="H340" s="244"/>
      <c r="I340" s="243"/>
      <c r="J340" s="237"/>
      <c r="K340" s="243"/>
      <c r="L340" s="237"/>
      <c r="M340" s="243"/>
      <c r="N340" s="237"/>
      <c r="O340" s="243"/>
      <c r="P340" s="755"/>
      <c r="Q340" s="243"/>
      <c r="R340" s="237"/>
      <c r="S340" s="243"/>
      <c r="T340" s="237"/>
      <c r="U340" s="243"/>
      <c r="V340" s="348"/>
      <c r="W340" s="243"/>
      <c r="X340" s="237"/>
      <c r="Y340" s="243"/>
      <c r="Z340" s="237"/>
      <c r="AA340" s="243"/>
      <c r="AB340" s="237"/>
      <c r="AC340" s="243"/>
      <c r="AD340" s="237"/>
      <c r="AE340" s="243"/>
      <c r="AF340" s="237"/>
      <c r="AG340" s="243"/>
      <c r="AH340" s="237"/>
      <c r="AI340" s="243"/>
    </row>
    <row r="341" spans="2:35">
      <c r="B341" s="382" t="s">
        <v>203</v>
      </c>
      <c r="C341" s="382"/>
      <c r="D341" s="237">
        <f>F341+H341+J341+L341+N341+P341+R341+T341+V341+X341+Z341+AB341+AD341+AF341+AH341</f>
        <v>38649288</v>
      </c>
      <c r="E341" s="416"/>
      <c r="F341" s="237">
        <v>38649288</v>
      </c>
      <c r="G341" s="243"/>
      <c r="H341" s="244"/>
      <c r="I341" s="243"/>
      <c r="J341" s="237"/>
      <c r="K341" s="243"/>
      <c r="L341" s="237"/>
      <c r="M341" s="243"/>
      <c r="N341" s="237"/>
      <c r="O341" s="243"/>
      <c r="P341" s="755"/>
      <c r="Q341" s="243"/>
      <c r="R341" s="237"/>
      <c r="S341" s="243"/>
      <c r="T341" s="237"/>
      <c r="U341" s="243"/>
      <c r="V341" s="348"/>
      <c r="W341" s="243"/>
      <c r="X341" s="237"/>
      <c r="Y341" s="243"/>
      <c r="Z341" s="237"/>
      <c r="AA341" s="243"/>
      <c r="AB341" s="237"/>
      <c r="AC341" s="243"/>
      <c r="AD341" s="237"/>
      <c r="AE341" s="243"/>
      <c r="AF341" s="237"/>
      <c r="AG341" s="243"/>
      <c r="AH341" s="237"/>
      <c r="AI341" s="243"/>
    </row>
    <row r="342" spans="2:35" ht="12" thickBot="1">
      <c r="B342" s="327" t="s">
        <v>976</v>
      </c>
      <c r="C342" s="382"/>
      <c r="D342" s="245">
        <f>F342+H342+J342+L342+N342+P342+R342+T342+V342+X342+Z342+AB342+AD342+AF342+AH342</f>
        <v>4847730</v>
      </c>
      <c r="E342" s="416"/>
      <c r="F342" s="245">
        <v>4847730</v>
      </c>
      <c r="G342" s="243"/>
      <c r="H342" s="245"/>
      <c r="I342" s="243"/>
      <c r="J342" s="245"/>
      <c r="K342" s="243"/>
      <c r="L342" s="245"/>
      <c r="M342" s="243"/>
      <c r="N342" s="245"/>
      <c r="O342" s="243"/>
      <c r="P342" s="245"/>
      <c r="Q342" s="243"/>
      <c r="R342" s="245"/>
      <c r="S342" s="243"/>
      <c r="T342" s="245"/>
      <c r="U342" s="243"/>
      <c r="V342" s="245"/>
      <c r="W342" s="243"/>
      <c r="X342" s="245"/>
      <c r="Y342" s="243"/>
      <c r="Z342" s="245"/>
      <c r="AA342" s="243"/>
      <c r="AB342" s="245"/>
      <c r="AC342" s="243"/>
      <c r="AD342" s="245"/>
      <c r="AE342" s="243"/>
      <c r="AF342" s="245"/>
      <c r="AG342" s="243"/>
      <c r="AH342" s="245"/>
      <c r="AI342" s="243"/>
    </row>
    <row r="343" spans="2:35">
      <c r="B343" s="327" t="s">
        <v>93</v>
      </c>
      <c r="C343" s="382"/>
      <c r="D343" s="237">
        <f>+SUM(D339:D342)</f>
        <v>280698819</v>
      </c>
      <c r="E343" s="416"/>
      <c r="F343" s="237">
        <f>+SUM(F339:F342)</f>
        <v>280698819</v>
      </c>
      <c r="G343" s="243"/>
      <c r="H343" s="237">
        <f>+SUM(H339:H342)</f>
        <v>0</v>
      </c>
      <c r="I343" s="243"/>
      <c r="J343" s="237">
        <f>+SUM(J339:J342)</f>
        <v>0</v>
      </c>
      <c r="K343" s="243"/>
      <c r="L343" s="237">
        <f>+SUM(L339:L342)</f>
        <v>0</v>
      </c>
      <c r="M343" s="243"/>
      <c r="N343" s="237">
        <f>+SUM(N339:N342)</f>
        <v>0</v>
      </c>
      <c r="O343" s="243"/>
      <c r="P343" s="755">
        <f>+SUM(P339:P342)</f>
        <v>0</v>
      </c>
      <c r="Q343" s="243"/>
      <c r="R343" s="237">
        <f>+SUM(R339:R342)</f>
        <v>0</v>
      </c>
      <c r="S343" s="243"/>
      <c r="T343" s="237">
        <f>+SUM(T339:T342)</f>
        <v>0</v>
      </c>
      <c r="U343" s="243"/>
      <c r="V343" s="237">
        <f>+SUM(V339:V342)</f>
        <v>0</v>
      </c>
      <c r="W343" s="243"/>
      <c r="X343" s="237">
        <f>+SUM(X339:X342)</f>
        <v>0</v>
      </c>
      <c r="Y343" s="243"/>
      <c r="Z343" s="237">
        <f>+SUM(Z339:Z342)</f>
        <v>0</v>
      </c>
      <c r="AA343" s="243"/>
      <c r="AB343" s="237">
        <f>+SUM(AB339:AB342)</f>
        <v>0</v>
      </c>
      <c r="AC343" s="243"/>
      <c r="AD343" s="237">
        <f>+SUM(AD339:AD342)</f>
        <v>0</v>
      </c>
      <c r="AE343" s="243"/>
      <c r="AF343" s="237">
        <f>+SUM(AF339:AF342)</f>
        <v>0</v>
      </c>
      <c r="AG343" s="243"/>
      <c r="AH343" s="237">
        <f>+SUM(AH339:AH342)</f>
        <v>0</v>
      </c>
      <c r="AI343" s="243"/>
    </row>
    <row r="344" spans="2:35" ht="21.75" thickBot="1">
      <c r="B344" s="327" t="s">
        <v>92</v>
      </c>
      <c r="C344" s="382"/>
      <c r="D344" s="245">
        <f>F344+H344+J344+L344+N344+P344+R344+T344+V344+X344+Z344+AB344+AD344+AF344+AH344</f>
        <v>4847730</v>
      </c>
      <c r="E344" s="243">
        <f>+D343-D344</f>
        <v>275851089</v>
      </c>
      <c r="F344" s="245">
        <f>+F342</f>
        <v>4847730</v>
      </c>
      <c r="G344" s="243">
        <f>+F343-F344</f>
        <v>275851089</v>
      </c>
      <c r="H344" s="245"/>
      <c r="I344" s="243">
        <f>+H343-H344</f>
        <v>0</v>
      </c>
      <c r="J344" s="245"/>
      <c r="K344" s="243">
        <f>+J343-J344</f>
        <v>0</v>
      </c>
      <c r="L344" s="245"/>
      <c r="M344" s="243">
        <f>+L343-L344</f>
        <v>0</v>
      </c>
      <c r="N344" s="245"/>
      <c r="O344" s="243">
        <f>+N343-N344</f>
        <v>0</v>
      </c>
      <c r="P344" s="245"/>
      <c r="Q344" s="243">
        <f>+P343-P344</f>
        <v>0</v>
      </c>
      <c r="R344" s="245"/>
      <c r="S344" s="243">
        <f>+R343-R344</f>
        <v>0</v>
      </c>
      <c r="T344" s="245"/>
      <c r="U344" s="243">
        <f>+T343-T344</f>
        <v>0</v>
      </c>
      <c r="V344" s="245"/>
      <c r="W344" s="243">
        <f>+V343-V344</f>
        <v>0</v>
      </c>
      <c r="X344" s="245"/>
      <c r="Y344" s="243">
        <f>+X343-X344</f>
        <v>0</v>
      </c>
      <c r="Z344" s="245"/>
      <c r="AA344" s="243">
        <f>+Z343-Z344</f>
        <v>0</v>
      </c>
      <c r="AB344" s="245"/>
      <c r="AC344" s="243">
        <f>+AB343-AB344</f>
        <v>0</v>
      </c>
      <c r="AD344" s="245"/>
      <c r="AE344" s="243">
        <f>+AD343-AD344</f>
        <v>0</v>
      </c>
      <c r="AF344" s="245"/>
      <c r="AG344" s="243">
        <f>+AF343-AF344</f>
        <v>0</v>
      </c>
      <c r="AH344" s="245"/>
      <c r="AI344" s="243">
        <f>+AH343-AH344</f>
        <v>0</v>
      </c>
    </row>
    <row r="345" spans="2:35">
      <c r="B345" s="382"/>
      <c r="C345" s="244"/>
      <c r="D345" s="237"/>
      <c r="E345" s="243"/>
      <c r="F345" s="237"/>
      <c r="G345" s="243"/>
      <c r="H345" s="244"/>
      <c r="I345" s="243"/>
      <c r="J345" s="237"/>
      <c r="K345" s="243"/>
      <c r="L345" s="237"/>
      <c r="M345" s="243"/>
      <c r="N345" s="237"/>
      <c r="O345" s="243"/>
      <c r="P345" s="237"/>
      <c r="Q345" s="243"/>
      <c r="R345" s="237"/>
      <c r="S345" s="243"/>
      <c r="T345" s="237"/>
      <c r="U345" s="243"/>
      <c r="V345" s="348"/>
      <c r="W345" s="243"/>
      <c r="X345" s="237"/>
      <c r="Y345" s="243"/>
      <c r="Z345" s="237"/>
      <c r="AA345" s="243"/>
      <c r="AB345" s="237"/>
      <c r="AC345" s="243"/>
      <c r="AD345" s="237"/>
      <c r="AE345" s="243"/>
      <c r="AF345" s="237"/>
      <c r="AG345" s="243"/>
      <c r="AH345" s="237"/>
      <c r="AI345" s="243"/>
    </row>
    <row r="346" spans="2:35">
      <c r="B346" s="872" t="s">
        <v>102</v>
      </c>
      <c r="C346" s="244"/>
      <c r="D346" s="237"/>
      <c r="E346" s="243"/>
      <c r="F346" s="237"/>
      <c r="G346" s="243"/>
      <c r="H346" s="244"/>
      <c r="I346" s="243"/>
      <c r="J346" s="237"/>
      <c r="K346" s="243"/>
      <c r="L346" s="237"/>
      <c r="M346" s="243"/>
      <c r="N346" s="237"/>
      <c r="O346" s="243"/>
      <c r="P346" s="237"/>
      <c r="Q346" s="243"/>
      <c r="R346" s="237"/>
      <c r="S346" s="243"/>
      <c r="T346" s="237"/>
      <c r="U346" s="243"/>
      <c r="V346" s="348"/>
      <c r="W346" s="243"/>
      <c r="X346" s="237"/>
      <c r="Y346" s="243"/>
      <c r="Z346" s="237"/>
      <c r="AA346" s="243"/>
      <c r="AB346" s="237"/>
      <c r="AC346" s="243"/>
      <c r="AD346" s="237"/>
      <c r="AE346" s="243"/>
      <c r="AF346" s="237"/>
      <c r="AG346" s="243"/>
      <c r="AH346" s="237"/>
      <c r="AI346" s="243"/>
    </row>
    <row r="347" spans="2:35">
      <c r="B347" s="382" t="s">
        <v>96</v>
      </c>
      <c r="C347" s="244"/>
      <c r="D347" s="237"/>
      <c r="E347" s="243"/>
      <c r="F347" s="237"/>
      <c r="G347" s="243"/>
      <c r="H347" s="244"/>
      <c r="I347" s="243"/>
      <c r="J347" s="237"/>
      <c r="K347" s="243"/>
      <c r="L347" s="237"/>
      <c r="M347" s="243"/>
      <c r="N347" s="237"/>
      <c r="O347" s="243"/>
      <c r="P347" s="237"/>
      <c r="Q347" s="243"/>
      <c r="R347" s="237"/>
      <c r="S347" s="243"/>
      <c r="T347" s="237"/>
      <c r="U347" s="243"/>
      <c r="V347" s="348"/>
      <c r="W347" s="243"/>
      <c r="X347" s="237"/>
      <c r="Y347" s="243"/>
      <c r="Z347" s="237"/>
      <c r="AA347" s="243"/>
      <c r="AB347" s="237"/>
      <c r="AC347" s="243"/>
      <c r="AD347" s="237"/>
      <c r="AE347" s="243"/>
      <c r="AF347" s="237"/>
      <c r="AG347" s="243"/>
      <c r="AH347" s="237"/>
      <c r="AI347" s="243"/>
    </row>
    <row r="348" spans="2:35" ht="15" customHeight="1">
      <c r="B348" s="382" t="s">
        <v>202</v>
      </c>
      <c r="C348" s="244"/>
      <c r="D348" s="237">
        <f>F348+H348+J348+L348+N348+P348+R348+T348+V348+X348+Z348+AB348+AD348+AF348+AH348</f>
        <v>88401620</v>
      </c>
      <c r="E348" s="243"/>
      <c r="F348" s="237"/>
      <c r="G348" s="243"/>
      <c r="H348" s="244"/>
      <c r="I348" s="243"/>
      <c r="J348" s="237"/>
      <c r="K348" s="243"/>
      <c r="L348" s="237">
        <v>820170</v>
      </c>
      <c r="M348" s="243"/>
      <c r="N348" s="237"/>
      <c r="O348" s="243"/>
      <c r="P348" s="237"/>
      <c r="Q348" s="243"/>
      <c r="R348" s="237"/>
      <c r="S348" s="243"/>
      <c r="T348" s="237"/>
      <c r="U348" s="243"/>
      <c r="V348" s="348"/>
      <c r="W348" s="243"/>
      <c r="X348" s="237"/>
      <c r="Y348" s="243"/>
      <c r="Z348" s="237"/>
      <c r="AA348" s="243"/>
      <c r="AB348" s="237"/>
      <c r="AC348" s="243"/>
      <c r="AD348" s="237"/>
      <c r="AE348" s="243"/>
      <c r="AF348" s="237">
        <v>87581450</v>
      </c>
      <c r="AG348" s="243"/>
      <c r="AH348" s="237"/>
      <c r="AI348" s="243"/>
    </row>
    <row r="349" spans="2:35" ht="12.75" customHeight="1">
      <c r="B349" s="382" t="s">
        <v>203</v>
      </c>
      <c r="C349" s="244"/>
      <c r="D349" s="237">
        <f>F349+H349+J349+L349+N349+P349+R349+T349+V349+X349+Z349+AB349+AD349+AF349+AH349</f>
        <v>25020</v>
      </c>
      <c r="E349" s="243"/>
      <c r="F349" s="237"/>
      <c r="G349" s="243"/>
      <c r="H349" s="244"/>
      <c r="I349" s="243"/>
      <c r="J349" s="237"/>
      <c r="K349" s="243"/>
      <c r="L349" s="237"/>
      <c r="M349" s="243"/>
      <c r="N349" s="237"/>
      <c r="O349" s="243"/>
      <c r="P349" s="237"/>
      <c r="Q349" s="243"/>
      <c r="R349" s="237"/>
      <c r="S349" s="243"/>
      <c r="T349" s="237"/>
      <c r="U349" s="243"/>
      <c r="V349" s="348"/>
      <c r="W349" s="243"/>
      <c r="X349" s="237"/>
      <c r="Y349" s="243"/>
      <c r="Z349" s="237"/>
      <c r="AA349" s="243"/>
      <c r="AB349" s="237"/>
      <c r="AC349" s="243"/>
      <c r="AD349" s="237"/>
      <c r="AE349" s="243"/>
      <c r="AF349" s="237"/>
      <c r="AG349" s="243"/>
      <c r="AH349" s="237">
        <v>25020</v>
      </c>
      <c r="AI349" s="243"/>
    </row>
    <row r="350" spans="2:35" ht="12.75" customHeight="1">
      <c r="B350" s="382" t="s">
        <v>204</v>
      </c>
      <c r="C350" s="244"/>
      <c r="D350" s="237">
        <f>F350+H350+J350+L350+N350+P350+R350+T350+V350+X350+Z350+AB350+AD350+AF350+AH350</f>
        <v>171956623</v>
      </c>
      <c r="E350" s="243"/>
      <c r="F350" s="237">
        <v>63478823</v>
      </c>
      <c r="G350" s="243"/>
      <c r="H350" s="244">
        <v>14874730</v>
      </c>
      <c r="I350" s="243"/>
      <c r="J350" s="237">
        <v>2683585</v>
      </c>
      <c r="K350" s="243"/>
      <c r="L350" s="237">
        <v>5161202</v>
      </c>
      <c r="M350" s="243"/>
      <c r="N350" s="237"/>
      <c r="O350" s="243"/>
      <c r="P350" s="237">
        <v>8659692</v>
      </c>
      <c r="Q350" s="243"/>
      <c r="R350" s="237">
        <v>3466356</v>
      </c>
      <c r="S350" s="243"/>
      <c r="T350" s="237">
        <v>24823776</v>
      </c>
      <c r="U350" s="243"/>
      <c r="V350" s="348">
        <v>10905164</v>
      </c>
      <c r="W350" s="243"/>
      <c r="X350" s="237">
        <v>1067115</v>
      </c>
      <c r="Y350" s="243"/>
      <c r="Z350" s="237">
        <v>9596073</v>
      </c>
      <c r="AA350" s="243"/>
      <c r="AB350" s="237"/>
      <c r="AC350" s="243"/>
      <c r="AD350" s="237">
        <v>13427730</v>
      </c>
      <c r="AE350" s="243"/>
      <c r="AF350" s="237">
        <v>13427682</v>
      </c>
      <c r="AG350" s="243"/>
      <c r="AH350" s="237">
        <v>384695</v>
      </c>
      <c r="AI350" s="243"/>
    </row>
    <row r="351" spans="2:35">
      <c r="B351" s="382" t="s">
        <v>97</v>
      </c>
      <c r="C351" s="244"/>
      <c r="D351" s="237"/>
      <c r="E351" s="243"/>
      <c r="F351" s="237"/>
      <c r="G351" s="243"/>
      <c r="H351" s="244"/>
      <c r="I351" s="243"/>
      <c r="J351" s="237"/>
      <c r="K351" s="243"/>
      <c r="L351" s="237"/>
      <c r="M351" s="243"/>
      <c r="N351" s="237"/>
      <c r="O351" s="243"/>
      <c r="P351" s="237"/>
      <c r="Q351" s="243"/>
      <c r="R351" s="237"/>
      <c r="S351" s="243"/>
      <c r="T351" s="237"/>
      <c r="U351" s="243"/>
      <c r="V351" s="348"/>
      <c r="W351" s="243"/>
      <c r="X351" s="237"/>
      <c r="Y351" s="243"/>
      <c r="Z351" s="237"/>
      <c r="AA351" s="243"/>
      <c r="AB351" s="237"/>
      <c r="AC351" s="243"/>
      <c r="AD351" s="237"/>
      <c r="AE351" s="243"/>
      <c r="AF351" s="237"/>
      <c r="AG351" s="243"/>
      <c r="AH351" s="237"/>
      <c r="AI351" s="243"/>
    </row>
    <row r="352" spans="2:35" ht="13.5" customHeight="1">
      <c r="B352" s="382" t="s">
        <v>202</v>
      </c>
      <c r="C352" s="244"/>
      <c r="D352" s="237">
        <f>F352+H352+J352+L352+N352+P352+R352+T352+V352+X352+Z352+AB352+AD352+AF352+AH352</f>
        <v>319032</v>
      </c>
      <c r="E352" s="243"/>
      <c r="F352" s="237">
        <v>319032</v>
      </c>
      <c r="G352" s="243"/>
      <c r="H352" s="244"/>
      <c r="I352" s="243"/>
      <c r="J352" s="237"/>
      <c r="K352" s="243"/>
      <c r="L352" s="237"/>
      <c r="M352" s="243"/>
      <c r="N352" s="237"/>
      <c r="O352" s="243"/>
      <c r="P352" s="237"/>
      <c r="Q352" s="243"/>
      <c r="R352" s="237"/>
      <c r="S352" s="243"/>
      <c r="T352" s="237"/>
      <c r="U352" s="243"/>
      <c r="V352" s="348"/>
      <c r="W352" s="243"/>
      <c r="X352" s="237"/>
      <c r="Y352" s="243"/>
      <c r="Z352" s="237"/>
      <c r="AA352" s="243"/>
      <c r="AB352" s="237"/>
      <c r="AC352" s="243"/>
      <c r="AD352" s="237"/>
      <c r="AE352" s="243"/>
      <c r="AF352" s="237"/>
      <c r="AG352" s="243"/>
      <c r="AH352" s="237"/>
      <c r="AI352" s="243"/>
    </row>
    <row r="353" spans="2:35">
      <c r="B353" s="382" t="s">
        <v>203</v>
      </c>
      <c r="C353" s="244"/>
      <c r="D353" s="237">
        <f>F353+H353+J353+L353+N353+P353+R353+T353+V353+X353+Z353+AB353+AD353+AF353+AH353</f>
        <v>0</v>
      </c>
      <c r="E353" s="243"/>
      <c r="F353" s="237"/>
      <c r="G353" s="243"/>
      <c r="H353" s="244"/>
      <c r="I353" s="243"/>
      <c r="J353" s="237"/>
      <c r="K353" s="243"/>
      <c r="L353" s="237"/>
      <c r="M353" s="243"/>
      <c r="N353" s="237"/>
      <c r="O353" s="243"/>
      <c r="P353" s="237"/>
      <c r="Q353" s="243"/>
      <c r="R353" s="237"/>
      <c r="S353" s="243"/>
      <c r="T353" s="237"/>
      <c r="U353" s="243"/>
      <c r="V353" s="348"/>
      <c r="W353" s="243"/>
      <c r="X353" s="237"/>
      <c r="Y353" s="243"/>
      <c r="Z353" s="237"/>
      <c r="AA353" s="243"/>
      <c r="AB353" s="237"/>
      <c r="AC353" s="243"/>
      <c r="AD353" s="237"/>
      <c r="AE353" s="243"/>
      <c r="AF353" s="237"/>
      <c r="AG353" s="243"/>
      <c r="AH353" s="237"/>
      <c r="AI353" s="243"/>
    </row>
    <row r="354" spans="2:35">
      <c r="B354" s="382" t="s">
        <v>204</v>
      </c>
      <c r="C354" s="244"/>
      <c r="D354" s="237">
        <f>F354+H354+J354+L354+N354+P354+R354+T354+V354+X354+Z354+AB354+AD354+AF354+AH354</f>
        <v>88218565</v>
      </c>
      <c r="E354" s="243"/>
      <c r="F354" s="237">
        <v>18932376</v>
      </c>
      <c r="G354" s="243"/>
      <c r="H354" s="244">
        <v>13990264</v>
      </c>
      <c r="I354" s="243"/>
      <c r="J354" s="237">
        <v>1619607</v>
      </c>
      <c r="K354" s="243"/>
      <c r="L354" s="237">
        <v>3264376</v>
      </c>
      <c r="M354" s="243"/>
      <c r="N354" s="237"/>
      <c r="O354" s="243"/>
      <c r="P354" s="237">
        <v>10888775</v>
      </c>
      <c r="Q354" s="243"/>
      <c r="R354" s="237">
        <v>949496</v>
      </c>
      <c r="S354" s="243"/>
      <c r="T354" s="237">
        <v>11161649</v>
      </c>
      <c r="U354" s="243"/>
      <c r="V354" s="348">
        <v>4163662</v>
      </c>
      <c r="W354" s="243"/>
      <c r="X354" s="237">
        <v>563041</v>
      </c>
      <c r="Y354" s="243"/>
      <c r="Z354" s="237">
        <v>4676043</v>
      </c>
      <c r="AA354" s="243"/>
      <c r="AB354" s="237"/>
      <c r="AC354" s="243"/>
      <c r="AD354" s="237">
        <v>4876093</v>
      </c>
      <c r="AE354" s="243"/>
      <c r="AF354" s="237">
        <v>12120004</v>
      </c>
      <c r="AG354" s="243"/>
      <c r="AH354" s="237">
        <v>1013179</v>
      </c>
      <c r="AI354" s="243"/>
    </row>
    <row r="355" spans="2:35">
      <c r="B355" s="382" t="s">
        <v>856</v>
      </c>
      <c r="C355" s="244"/>
      <c r="D355" s="237">
        <f>F355+H355+J355+L355+N355+P355+R355+T355+V355+X355+Z355+AB355+AD355+AF355+AH355</f>
        <v>189643285</v>
      </c>
      <c r="E355" s="243"/>
      <c r="F355" s="237"/>
      <c r="G355" s="243"/>
      <c r="H355" s="244"/>
      <c r="I355" s="243"/>
      <c r="J355" s="237"/>
      <c r="K355" s="243"/>
      <c r="L355" s="237"/>
      <c r="M355" s="243"/>
      <c r="N355" s="237"/>
      <c r="O355" s="243"/>
      <c r="P355" s="237">
        <v>90244557</v>
      </c>
      <c r="Q355" s="243"/>
      <c r="R355" s="237"/>
      <c r="S355" s="243"/>
      <c r="T355" s="237">
        <v>43257380</v>
      </c>
      <c r="U355" s="243"/>
      <c r="V355" s="348"/>
      <c r="W355" s="243"/>
      <c r="X355" s="237"/>
      <c r="Y355" s="243"/>
      <c r="Z355" s="237">
        <v>24115520</v>
      </c>
      <c r="AA355" s="243"/>
      <c r="AB355" s="237"/>
      <c r="AC355" s="243"/>
      <c r="AD355" s="237"/>
      <c r="AE355" s="243"/>
      <c r="AF355" s="237">
        <f>130574+6516899+25082232</f>
        <v>31729705</v>
      </c>
      <c r="AG355" s="243"/>
      <c r="AH355" s="237">
        <v>296123</v>
      </c>
      <c r="AI355" s="243"/>
    </row>
    <row r="356" spans="2:35" ht="12" thickBot="1">
      <c r="B356" s="327" t="s">
        <v>98</v>
      </c>
      <c r="C356" s="244"/>
      <c r="D356" s="245">
        <f>F356+H356+J356+L356+N356+P356+R356+T356+V356+X356+Z356+AB356+AD356+AF356+AH356</f>
        <v>2486583031</v>
      </c>
      <c r="E356" s="243"/>
      <c r="F356" s="245">
        <v>2098363818</v>
      </c>
      <c r="G356" s="243"/>
      <c r="H356" s="248"/>
      <c r="I356" s="243"/>
      <c r="J356" s="245">
        <v>40633824</v>
      </c>
      <c r="K356" s="243"/>
      <c r="L356" s="245"/>
      <c r="M356" s="243"/>
      <c r="N356" s="245"/>
      <c r="O356" s="243"/>
      <c r="P356" s="757">
        <v>77318396</v>
      </c>
      <c r="Q356" s="243"/>
      <c r="R356" s="245"/>
      <c r="S356" s="243"/>
      <c r="T356" s="245">
        <v>10666901</v>
      </c>
      <c r="U356" s="243"/>
      <c r="V356" s="344">
        <v>21512804</v>
      </c>
      <c r="W356" s="243"/>
      <c r="X356" s="245"/>
      <c r="Y356" s="243"/>
      <c r="Z356" s="245">
        <v>14344163</v>
      </c>
      <c r="AA356" s="243"/>
      <c r="AB356" s="245"/>
      <c r="AC356" s="243"/>
      <c r="AD356" s="245">
        <v>69393426</v>
      </c>
      <c r="AE356" s="243"/>
      <c r="AF356" s="245">
        <f>144889995+8531185</f>
        <v>153421180</v>
      </c>
      <c r="AG356" s="243"/>
      <c r="AH356" s="245">
        <v>928519</v>
      </c>
      <c r="AI356" s="243"/>
    </row>
    <row r="357" spans="2:35">
      <c r="B357" s="327" t="s">
        <v>93</v>
      </c>
      <c r="C357" s="244"/>
      <c r="D357" s="237">
        <f>+SUM(D347:D356)</f>
        <v>3025147176</v>
      </c>
      <c r="E357" s="243"/>
      <c r="F357" s="237">
        <f>+SUM(F347:F356)</f>
        <v>2181094049</v>
      </c>
      <c r="G357" s="243"/>
      <c r="H357" s="244">
        <f>+SUM(H347:H356)</f>
        <v>28864994</v>
      </c>
      <c r="I357" s="243"/>
      <c r="J357" s="237">
        <f>+SUM(J347:J356)</f>
        <v>44937016</v>
      </c>
      <c r="K357" s="243"/>
      <c r="L357" s="237">
        <f>+SUM(L347:L356)</f>
        <v>9245748</v>
      </c>
      <c r="M357" s="243"/>
      <c r="N357" s="237">
        <f>+SUM(N347:N356)</f>
        <v>0</v>
      </c>
      <c r="O357" s="243"/>
      <c r="P357" s="237">
        <f>+SUM(P347:P356)</f>
        <v>187111420</v>
      </c>
      <c r="Q357" s="243"/>
      <c r="R357" s="237">
        <f>+SUM(R347:R356)</f>
        <v>4415852</v>
      </c>
      <c r="S357" s="243"/>
      <c r="T357" s="237">
        <f>+SUM(T347:T356)</f>
        <v>89909706</v>
      </c>
      <c r="U357" s="243"/>
      <c r="V357" s="348">
        <f>+SUM(V347:V356)</f>
        <v>36581630</v>
      </c>
      <c r="W357" s="243"/>
      <c r="X357" s="237">
        <f>+SUM(X347:X356)</f>
        <v>1630156</v>
      </c>
      <c r="Y357" s="243"/>
      <c r="Z357" s="237">
        <f>+SUM(Z347:Z356)</f>
        <v>52731799</v>
      </c>
      <c r="AA357" s="243"/>
      <c r="AB357" s="237">
        <f>+SUM(AB347:AB356)</f>
        <v>0</v>
      </c>
      <c r="AC357" s="243"/>
      <c r="AD357" s="237">
        <f>+SUM(AD347:AD356)</f>
        <v>87697249</v>
      </c>
      <c r="AE357" s="243"/>
      <c r="AF357" s="237">
        <f>+SUM(AF347:AF356)</f>
        <v>298280021</v>
      </c>
      <c r="AG357" s="243"/>
      <c r="AH357" s="237">
        <f>+SUM(AH347:AH356)</f>
        <v>2647536</v>
      </c>
      <c r="AI357" s="243"/>
    </row>
    <row r="358" spans="2:35" ht="21.75" thickBot="1">
      <c r="B358" s="327" t="s">
        <v>92</v>
      </c>
      <c r="C358" s="244"/>
      <c r="D358" s="245">
        <f>F358+H358+J358+L358+N358+P358+R358+T358+V358+X358+Z358+AB358+AD358+AF358+AH358</f>
        <v>2486583031</v>
      </c>
      <c r="E358" s="243">
        <f>+D357-D358</f>
        <v>538564145</v>
      </c>
      <c r="F358" s="245">
        <f>F356</f>
        <v>2098363818</v>
      </c>
      <c r="G358" s="243">
        <f>+F357-F358</f>
        <v>82730231</v>
      </c>
      <c r="H358" s="248"/>
      <c r="I358" s="243">
        <f>+H357-H358</f>
        <v>28864994</v>
      </c>
      <c r="J358" s="245">
        <f>J356</f>
        <v>40633824</v>
      </c>
      <c r="K358" s="243">
        <f>+J357-J358</f>
        <v>4303192</v>
      </c>
      <c r="L358" s="245"/>
      <c r="M358" s="243">
        <f>+L357-L358</f>
        <v>9245748</v>
      </c>
      <c r="N358" s="245"/>
      <c r="O358" s="243">
        <f>+N357-N358</f>
        <v>0</v>
      </c>
      <c r="P358" s="757">
        <f>P356</f>
        <v>77318396</v>
      </c>
      <c r="Q358" s="243">
        <f>+P357-P358</f>
        <v>109793024</v>
      </c>
      <c r="R358" s="245"/>
      <c r="S358" s="243">
        <f>+R357-R358</f>
        <v>4415852</v>
      </c>
      <c r="T358" s="245">
        <f>T356</f>
        <v>10666901</v>
      </c>
      <c r="U358" s="243">
        <f>+T357-T358</f>
        <v>79242805</v>
      </c>
      <c r="V358" s="344">
        <f>V356</f>
        <v>21512804</v>
      </c>
      <c r="W358" s="243">
        <f>+V357-V358</f>
        <v>15068826</v>
      </c>
      <c r="X358" s="245"/>
      <c r="Y358" s="243">
        <f>+X357-X358</f>
        <v>1630156</v>
      </c>
      <c r="Z358" s="245">
        <f>Z356</f>
        <v>14344163</v>
      </c>
      <c r="AA358" s="243">
        <f>+Z357-Z358</f>
        <v>38387636</v>
      </c>
      <c r="AB358" s="245">
        <f>AB356</f>
        <v>0</v>
      </c>
      <c r="AC358" s="243">
        <f>+AB357-AB358</f>
        <v>0</v>
      </c>
      <c r="AD358" s="245">
        <f>AD356</f>
        <v>69393426</v>
      </c>
      <c r="AE358" s="243">
        <f>+AD357-AD358</f>
        <v>18303823</v>
      </c>
      <c r="AF358" s="245">
        <f>AF356</f>
        <v>153421180</v>
      </c>
      <c r="AG358" s="243">
        <f>+AF357-AF358</f>
        <v>144858841</v>
      </c>
      <c r="AH358" s="245">
        <f>AH356</f>
        <v>928519</v>
      </c>
      <c r="AI358" s="243">
        <f>+AH357-AH358</f>
        <v>1719017</v>
      </c>
    </row>
    <row r="359" spans="2:35">
      <c r="B359" s="327"/>
      <c r="C359" s="244"/>
      <c r="D359" s="237"/>
      <c r="E359" s="243"/>
      <c r="F359" s="237"/>
      <c r="G359" s="243"/>
      <c r="H359" s="244"/>
      <c r="I359" s="243"/>
      <c r="J359" s="244"/>
      <c r="K359" s="243"/>
      <c r="L359" s="244"/>
      <c r="M359" s="243"/>
      <c r="N359" s="244"/>
      <c r="O359" s="243"/>
      <c r="P359" s="244"/>
      <c r="Q359" s="243"/>
      <c r="R359" s="244"/>
      <c r="S359" s="243"/>
      <c r="T359" s="244"/>
      <c r="U359" s="243"/>
      <c r="V359" s="341"/>
      <c r="W359" s="243"/>
      <c r="X359" s="244"/>
      <c r="Y359" s="243"/>
      <c r="Z359" s="244"/>
      <c r="AA359" s="243"/>
      <c r="AB359" s="244"/>
      <c r="AC359" s="243"/>
      <c r="AD359" s="244"/>
      <c r="AE359" s="243"/>
      <c r="AF359" s="244"/>
      <c r="AG359" s="243"/>
      <c r="AH359" s="244"/>
      <c r="AI359" s="243"/>
    </row>
    <row r="360" spans="2:35">
      <c r="B360" s="327"/>
      <c r="C360" s="244"/>
      <c r="D360" s="237"/>
      <c r="E360" s="243"/>
      <c r="F360" s="237"/>
      <c r="G360" s="243"/>
      <c r="H360" s="244"/>
      <c r="I360" s="243"/>
      <c r="J360" s="237"/>
      <c r="K360" s="243"/>
      <c r="L360" s="237"/>
      <c r="M360" s="243"/>
      <c r="N360" s="237"/>
      <c r="O360" s="243"/>
      <c r="P360" s="237"/>
      <c r="Q360" s="243"/>
      <c r="R360" s="237"/>
      <c r="S360" s="243"/>
      <c r="T360" s="237"/>
      <c r="U360" s="243"/>
      <c r="V360" s="348"/>
      <c r="W360" s="243"/>
      <c r="X360" s="237"/>
      <c r="Y360" s="243"/>
      <c r="Z360" s="237"/>
      <c r="AA360" s="243"/>
      <c r="AB360" s="237"/>
      <c r="AC360" s="243"/>
      <c r="AD360" s="237"/>
      <c r="AE360" s="243"/>
      <c r="AF360" s="237"/>
      <c r="AG360" s="243"/>
      <c r="AH360" s="237"/>
      <c r="AI360" s="243"/>
    </row>
    <row r="361" spans="2:35" ht="12" thickBot="1">
      <c r="B361" s="665" t="s">
        <v>860</v>
      </c>
      <c r="C361" s="248"/>
      <c r="D361" s="245"/>
      <c r="E361" s="252">
        <f>SUM(E324:E360)</f>
        <v>940593623</v>
      </c>
      <c r="F361" s="245"/>
      <c r="G361" s="252">
        <f>SUM(G324:G360)</f>
        <v>358581320</v>
      </c>
      <c r="H361" s="248"/>
      <c r="I361" s="252">
        <f>SUM(I324:I360)</f>
        <v>28864994</v>
      </c>
      <c r="J361" s="248"/>
      <c r="K361" s="252">
        <f>SUM(K324:K360)</f>
        <v>4303192</v>
      </c>
      <c r="L361" s="248"/>
      <c r="M361" s="252">
        <f>SUM(M324:M360)</f>
        <v>9245748</v>
      </c>
      <c r="N361" s="248"/>
      <c r="O361" s="252">
        <f>SUM(O324:O360)</f>
        <v>0</v>
      </c>
      <c r="P361" s="248"/>
      <c r="Q361" s="252">
        <f>SUM(Q324:Q360)</f>
        <v>116467714</v>
      </c>
      <c r="R361" s="248"/>
      <c r="S361" s="252">
        <f>SUM(S324:S360)</f>
        <v>4455849</v>
      </c>
      <c r="T361" s="248"/>
      <c r="U361" s="252">
        <f>SUM(U324:U360)</f>
        <v>79242805</v>
      </c>
      <c r="V361" s="384"/>
      <c r="W361" s="252">
        <f>SUM(W324:W360)</f>
        <v>15068826</v>
      </c>
      <c r="X361" s="248"/>
      <c r="Y361" s="252">
        <f>SUM(Y324:Y360)</f>
        <v>2071150</v>
      </c>
      <c r="Z361" s="248"/>
      <c r="AA361" s="252">
        <f>SUM(AA324:AA360)</f>
        <v>144693036</v>
      </c>
      <c r="AB361" s="248"/>
      <c r="AC361" s="252">
        <f>SUM(AC324:AC360)</f>
        <v>0</v>
      </c>
      <c r="AD361" s="248"/>
      <c r="AE361" s="252">
        <f>SUM(AE324:AE360)</f>
        <v>18303823</v>
      </c>
      <c r="AF361" s="248"/>
      <c r="AG361" s="252">
        <f>SUM(AG324:AG360)</f>
        <v>156635994</v>
      </c>
      <c r="AH361" s="248"/>
      <c r="AI361" s="252">
        <f>SUM(AI324:AI360)</f>
        <v>2659172</v>
      </c>
    </row>
    <row r="363" spans="2:35" ht="36.75" hidden="1" customHeight="1">
      <c r="B363" s="1475" t="s">
        <v>927</v>
      </c>
      <c r="C363" s="1475"/>
      <c r="D363" s="1475"/>
      <c r="E363" s="1475"/>
      <c r="F363" s="1475"/>
      <c r="G363" s="1475"/>
    </row>
    <row r="364" spans="2:35" hidden="1"/>
    <row r="366" spans="2:35">
      <c r="B366" s="318" t="s">
        <v>103</v>
      </c>
    </row>
    <row r="367" spans="2:35" ht="12" thickBot="1">
      <c r="B367" s="318"/>
      <c r="G367" s="335" t="s">
        <v>247</v>
      </c>
    </row>
    <row r="368" spans="2:35" ht="15.75" customHeight="1" thickBot="1">
      <c r="B368" s="418"/>
      <c r="C368" s="333"/>
      <c r="D368" s="1463" t="s">
        <v>860</v>
      </c>
      <c r="E368" s="1464"/>
      <c r="F368" s="1463" t="s">
        <v>17</v>
      </c>
      <c r="G368" s="1464"/>
      <c r="H368" s="1463" t="s">
        <v>18</v>
      </c>
      <c r="I368" s="1464"/>
      <c r="J368" s="1463" t="s">
        <v>19</v>
      </c>
      <c r="K368" s="1464"/>
      <c r="L368" s="1463" t="s">
        <v>20</v>
      </c>
      <c r="M368" s="1464"/>
      <c r="N368" s="1463" t="s">
        <v>21</v>
      </c>
      <c r="O368" s="1464"/>
      <c r="P368" s="1463" t="s">
        <v>22</v>
      </c>
      <c r="Q368" s="1464"/>
      <c r="R368" s="1463" t="s">
        <v>23</v>
      </c>
      <c r="S368" s="1464"/>
      <c r="T368" s="1463" t="s">
        <v>24</v>
      </c>
      <c r="U368" s="1464"/>
      <c r="V368" s="1463" t="s">
        <v>25</v>
      </c>
      <c r="W368" s="1464"/>
      <c r="X368" s="1463" t="s">
        <v>26</v>
      </c>
      <c r="Y368" s="1464"/>
      <c r="Z368" s="1463" t="s">
        <v>27</v>
      </c>
      <c r="AA368" s="1464"/>
      <c r="AB368" s="1463"/>
      <c r="AC368" s="1464"/>
      <c r="AD368" s="1463" t="s">
        <v>1266</v>
      </c>
      <c r="AE368" s="1464"/>
      <c r="AF368" s="1463" t="s">
        <v>30</v>
      </c>
      <c r="AG368" s="1464"/>
      <c r="AH368" s="1463" t="s">
        <v>31</v>
      </c>
      <c r="AI368" s="1464"/>
    </row>
    <row r="369" spans="2:35">
      <c r="B369" s="653" t="s">
        <v>259</v>
      </c>
      <c r="C369" s="244"/>
      <c r="D369" s="237"/>
      <c r="E369" s="243"/>
      <c r="F369" s="237"/>
      <c r="G369" s="243"/>
      <c r="H369" s="237"/>
      <c r="I369" s="243"/>
      <c r="J369" s="237"/>
      <c r="K369" s="243"/>
      <c r="L369" s="237"/>
      <c r="M369" s="243"/>
      <c r="N369" s="237"/>
      <c r="O369" s="243"/>
      <c r="P369" s="237"/>
      <c r="Q369" s="243"/>
      <c r="R369" s="237"/>
      <c r="S369" s="243"/>
      <c r="T369" s="237"/>
      <c r="U369" s="243"/>
      <c r="V369" s="348"/>
      <c r="W369" s="243"/>
      <c r="X369" s="237"/>
      <c r="Y369" s="243"/>
      <c r="Z369" s="237"/>
      <c r="AA369" s="243"/>
      <c r="AB369" s="237"/>
      <c r="AC369" s="243"/>
      <c r="AD369" s="237"/>
      <c r="AE369" s="243"/>
      <c r="AF369" s="237"/>
      <c r="AG369" s="243"/>
      <c r="AH369" s="237"/>
      <c r="AI369" s="243"/>
    </row>
    <row r="370" spans="2:35" ht="32.25">
      <c r="B370" s="377" t="s">
        <v>187</v>
      </c>
      <c r="C370" s="244"/>
      <c r="D370" s="237">
        <f>F370+H370+J370+L370+N370+P370+R370+T370+V370+X370+Z370+AB370+AD370+AF370+AH370</f>
        <v>0</v>
      </c>
      <c r="E370" s="243"/>
      <c r="F370" s="237"/>
      <c r="G370" s="243"/>
      <c r="H370" s="237"/>
      <c r="I370" s="243"/>
      <c r="J370" s="237"/>
      <c r="K370" s="243"/>
      <c r="L370" s="237"/>
      <c r="M370" s="243"/>
      <c r="N370" s="237"/>
      <c r="O370" s="243"/>
      <c r="P370" s="237"/>
      <c r="Q370" s="243"/>
      <c r="R370" s="237"/>
      <c r="S370" s="243"/>
      <c r="T370" s="237"/>
      <c r="U370" s="243"/>
      <c r="V370" s="348"/>
      <c r="W370" s="243"/>
      <c r="X370" s="237"/>
      <c r="Y370" s="243"/>
      <c r="Z370" s="237"/>
      <c r="AA370" s="243"/>
      <c r="AB370" s="237"/>
      <c r="AC370" s="243"/>
      <c r="AD370" s="237"/>
      <c r="AE370" s="243"/>
      <c r="AF370" s="237"/>
      <c r="AG370" s="243"/>
      <c r="AH370" s="237"/>
      <c r="AI370" s="243"/>
    </row>
    <row r="371" spans="2:35">
      <c r="B371" s="377" t="s">
        <v>188</v>
      </c>
      <c r="C371" s="244"/>
      <c r="D371" s="237">
        <f>F371+H371+J371+L371+N371+P371+R371+T371+V371+X371+Z371+AB371+AD371+AF371+AH371</f>
        <v>10510458</v>
      </c>
      <c r="E371" s="243"/>
      <c r="F371" s="237"/>
      <c r="G371" s="243"/>
      <c r="H371" s="237"/>
      <c r="I371" s="243"/>
      <c r="J371" s="237"/>
      <c r="K371" s="243"/>
      <c r="L371" s="237"/>
      <c r="M371" s="243"/>
      <c r="N371" s="237"/>
      <c r="O371" s="243"/>
      <c r="P371" s="237"/>
      <c r="Q371" s="243"/>
      <c r="R371" s="237"/>
      <c r="S371" s="243"/>
      <c r="T371" s="237"/>
      <c r="U371" s="243"/>
      <c r="V371" s="348"/>
      <c r="W371" s="243"/>
      <c r="X371" s="237"/>
      <c r="Y371" s="243"/>
      <c r="Z371" s="237">
        <v>10510458</v>
      </c>
      <c r="AA371" s="243"/>
      <c r="AB371" s="237"/>
      <c r="AC371" s="243"/>
      <c r="AD371" s="237"/>
      <c r="AE371" s="243"/>
      <c r="AF371" s="237"/>
      <c r="AG371" s="243"/>
      <c r="AH371" s="237"/>
      <c r="AI371" s="243"/>
    </row>
    <row r="372" spans="2:35" ht="12" thickBot="1">
      <c r="B372" s="377" t="s">
        <v>189</v>
      </c>
      <c r="C372" s="244"/>
      <c r="D372" s="245">
        <f>F372+H372+J372+L372+N372+P372+R372+T372+V372+X372+Z372+AB372+AD372+AF372+AH372</f>
        <v>3751730711</v>
      </c>
      <c r="E372" s="243"/>
      <c r="F372" s="245">
        <v>-283562277</v>
      </c>
      <c r="G372" s="243"/>
      <c r="H372" s="245">
        <v>4868957</v>
      </c>
      <c r="I372" s="243"/>
      <c r="J372" s="245">
        <v>284872334</v>
      </c>
      <c r="K372" s="243"/>
      <c r="L372" s="245">
        <v>2302500643</v>
      </c>
      <c r="M372" s="243"/>
      <c r="N372" s="245"/>
      <c r="O372" s="243"/>
      <c r="P372" s="245">
        <v>95437376</v>
      </c>
      <c r="Q372" s="243"/>
      <c r="R372" s="245">
        <v>17399111</v>
      </c>
      <c r="S372" s="243"/>
      <c r="T372" s="245">
        <v>102145474</v>
      </c>
      <c r="U372" s="243"/>
      <c r="V372" s="344"/>
      <c r="W372" s="243"/>
      <c r="X372" s="245">
        <v>31979612</v>
      </c>
      <c r="Y372" s="243"/>
      <c r="Z372" s="245">
        <v>387455</v>
      </c>
      <c r="AA372" s="243"/>
      <c r="AB372" s="245"/>
      <c r="AC372" s="243"/>
      <c r="AD372" s="245"/>
      <c r="AE372" s="243"/>
      <c r="AF372" s="245">
        <v>1195702026</v>
      </c>
      <c r="AG372" s="243"/>
      <c r="AH372" s="245"/>
      <c r="AI372" s="243"/>
    </row>
    <row r="373" spans="2:35">
      <c r="B373" s="364" t="s">
        <v>93</v>
      </c>
      <c r="C373" s="244"/>
      <c r="D373" s="237">
        <f>SUM(D370:D372)</f>
        <v>3762241169</v>
      </c>
      <c r="E373" s="243"/>
      <c r="F373" s="237">
        <f>SUM(F370:F372)</f>
        <v>-283562277</v>
      </c>
      <c r="G373" s="243"/>
      <c r="H373" s="237">
        <f>SUM(H370:H372)</f>
        <v>4868957</v>
      </c>
      <c r="I373" s="243"/>
      <c r="J373" s="237">
        <f>SUM(J370:J372)</f>
        <v>284872334</v>
      </c>
      <c r="K373" s="243"/>
      <c r="L373" s="237">
        <f>SUM(L370:L372)</f>
        <v>2302500643</v>
      </c>
      <c r="M373" s="243"/>
      <c r="N373" s="237">
        <f>SUM(N370:N372)</f>
        <v>0</v>
      </c>
      <c r="O373" s="243"/>
      <c r="P373" s="237">
        <f>SUM(P370:P372)</f>
        <v>95437376</v>
      </c>
      <c r="Q373" s="243"/>
      <c r="R373" s="237">
        <f>SUM(R370:R372)</f>
        <v>17399111</v>
      </c>
      <c r="S373" s="243"/>
      <c r="T373" s="237">
        <f>SUM(T370:T372)</f>
        <v>102145474</v>
      </c>
      <c r="U373" s="243"/>
      <c r="V373" s="348">
        <f>SUM(V370:V372)</f>
        <v>0</v>
      </c>
      <c r="W373" s="243"/>
      <c r="X373" s="237">
        <f>SUM(X370:X372)</f>
        <v>31979612</v>
      </c>
      <c r="Y373" s="243"/>
      <c r="Z373" s="237">
        <f>SUM(Z370:Z372)</f>
        <v>10897913</v>
      </c>
      <c r="AA373" s="243"/>
      <c r="AB373" s="237">
        <f>SUM(AB370:AB372)</f>
        <v>0</v>
      </c>
      <c r="AC373" s="243"/>
      <c r="AD373" s="237">
        <f>SUM(AD370:AD372)</f>
        <v>0</v>
      </c>
      <c r="AE373" s="243"/>
      <c r="AF373" s="237">
        <f>SUM(AF370:AF372)</f>
        <v>1195702026</v>
      </c>
      <c r="AG373" s="243"/>
      <c r="AH373" s="237">
        <f>SUM(AH370:AH372)</f>
        <v>0</v>
      </c>
      <c r="AI373" s="243"/>
    </row>
    <row r="374" spans="2:35" ht="21.75" thickBot="1">
      <c r="B374" s="826" t="s">
        <v>190</v>
      </c>
      <c r="C374" s="244"/>
      <c r="D374" s="245">
        <f>F374+H374+J374+L374+N374+P374+R374+T374+V374+X374+Z374+AB374+AD374+AF374+AH374</f>
        <v>3753915831</v>
      </c>
      <c r="E374" s="243">
        <f>+D373-D374</f>
        <v>8325338</v>
      </c>
      <c r="F374" s="245">
        <v>-281377157</v>
      </c>
      <c r="G374" s="243">
        <f>+F373-F374</f>
        <v>-2185120</v>
      </c>
      <c r="H374" s="245">
        <f>H372</f>
        <v>4868957</v>
      </c>
      <c r="I374" s="243">
        <f>+H373-H374</f>
        <v>0</v>
      </c>
      <c r="J374" s="245">
        <f>J372</f>
        <v>284872334</v>
      </c>
      <c r="K374" s="243">
        <f>+J373-J374</f>
        <v>0</v>
      </c>
      <c r="L374" s="245">
        <f>L372</f>
        <v>2302500643</v>
      </c>
      <c r="M374" s="243">
        <f>+L373-L374</f>
        <v>0</v>
      </c>
      <c r="N374" s="245"/>
      <c r="O374" s="243">
        <f>+N373-N374</f>
        <v>0</v>
      </c>
      <c r="P374" s="245">
        <f>P372</f>
        <v>95437376</v>
      </c>
      <c r="Q374" s="243">
        <f>+P373-P374</f>
        <v>0</v>
      </c>
      <c r="R374" s="245">
        <f>R372</f>
        <v>17399111</v>
      </c>
      <c r="S374" s="243">
        <f>+R373-R374</f>
        <v>0</v>
      </c>
      <c r="T374" s="245">
        <f>T372</f>
        <v>102145474</v>
      </c>
      <c r="U374" s="243">
        <f>+T373-T374</f>
        <v>0</v>
      </c>
      <c r="V374" s="344">
        <f>V372</f>
        <v>0</v>
      </c>
      <c r="W374" s="243">
        <f>+V373-V374</f>
        <v>0</v>
      </c>
      <c r="X374" s="245">
        <f>X372</f>
        <v>31979612</v>
      </c>
      <c r="Y374" s="243">
        <f>+X373-X374</f>
        <v>0</v>
      </c>
      <c r="Z374" s="245">
        <f>Z372</f>
        <v>387455</v>
      </c>
      <c r="AA374" s="243">
        <f>+Z373-Z374</f>
        <v>10510458</v>
      </c>
      <c r="AB374" s="245">
        <f>AB372</f>
        <v>0</v>
      </c>
      <c r="AC374" s="243">
        <f>+AB373-AB374</f>
        <v>0</v>
      </c>
      <c r="AD374" s="245">
        <f>AD372</f>
        <v>0</v>
      </c>
      <c r="AE374" s="243">
        <f>+AD373-AD374</f>
        <v>0</v>
      </c>
      <c r="AF374" s="245">
        <f>AF372</f>
        <v>1195702026</v>
      </c>
      <c r="AG374" s="243">
        <f>+AF373-AF374</f>
        <v>0</v>
      </c>
      <c r="AH374" s="245"/>
      <c r="AI374" s="243">
        <f>+AH373-AH374</f>
        <v>0</v>
      </c>
    </row>
    <row r="375" spans="2:35">
      <c r="B375" s="392" t="s">
        <v>887</v>
      </c>
      <c r="C375" s="244"/>
      <c r="D375" s="237"/>
      <c r="E375" s="243"/>
      <c r="F375" s="237"/>
      <c r="G375" s="243"/>
      <c r="H375" s="237"/>
      <c r="I375" s="243"/>
      <c r="J375" s="237"/>
      <c r="K375" s="243"/>
      <c r="L375" s="237"/>
      <c r="M375" s="243"/>
      <c r="N375" s="237"/>
      <c r="O375" s="243"/>
      <c r="P375" s="237"/>
      <c r="Q375" s="243"/>
      <c r="R375" s="237"/>
      <c r="S375" s="243"/>
      <c r="T375" s="237"/>
      <c r="U375" s="243"/>
      <c r="V375" s="348"/>
      <c r="W375" s="243"/>
      <c r="X375" s="237"/>
      <c r="Y375" s="243"/>
      <c r="Z375" s="237"/>
      <c r="AA375" s="243"/>
      <c r="AB375" s="237"/>
      <c r="AC375" s="243"/>
      <c r="AD375" s="237"/>
      <c r="AE375" s="243"/>
      <c r="AF375" s="237"/>
      <c r="AG375" s="243"/>
      <c r="AH375" s="237"/>
      <c r="AI375" s="243"/>
    </row>
    <row r="376" spans="2:35">
      <c r="B376" s="377" t="s">
        <v>191</v>
      </c>
      <c r="C376" s="244"/>
      <c r="D376" s="237">
        <f>F376+H376+J376+L376+N376+P376+R376+T376+V376+X376+Z376+AB376+AD376+AF376+AH376</f>
        <v>0</v>
      </c>
      <c r="E376" s="243"/>
      <c r="F376" s="237"/>
      <c r="G376" s="243"/>
      <c r="H376" s="237"/>
      <c r="I376" s="243"/>
      <c r="J376" s="237"/>
      <c r="K376" s="243"/>
      <c r="L376" s="237"/>
      <c r="M376" s="243"/>
      <c r="N376" s="237"/>
      <c r="O376" s="243"/>
      <c r="P376" s="237"/>
      <c r="Q376" s="243"/>
      <c r="R376" s="237"/>
      <c r="S376" s="243"/>
      <c r="T376" s="237"/>
      <c r="U376" s="243"/>
      <c r="V376" s="348"/>
      <c r="W376" s="243"/>
      <c r="X376" s="237"/>
      <c r="Y376" s="243"/>
      <c r="Z376" s="237"/>
      <c r="AA376" s="243"/>
      <c r="AB376" s="237"/>
      <c r="AC376" s="243"/>
      <c r="AD376" s="237"/>
      <c r="AE376" s="243"/>
      <c r="AF376" s="237"/>
      <c r="AG376" s="243"/>
      <c r="AH376" s="237"/>
      <c r="AI376" s="243"/>
    </row>
    <row r="377" spans="2:35">
      <c r="B377" s="377" t="s">
        <v>192</v>
      </c>
      <c r="C377" s="244"/>
      <c r="D377" s="237">
        <f>F377+H377+J377+L377+N377+P377+R377+T377+V377+X377+Z377+AB377+AD377+AF377+AH377</f>
        <v>0</v>
      </c>
      <c r="E377" s="243"/>
      <c r="F377" s="237"/>
      <c r="G377" s="243"/>
      <c r="H377" s="237"/>
      <c r="I377" s="243"/>
      <c r="J377" s="237"/>
      <c r="K377" s="243"/>
      <c r="L377" s="237"/>
      <c r="M377" s="243"/>
      <c r="N377" s="237"/>
      <c r="O377" s="243"/>
      <c r="P377" s="237"/>
      <c r="Q377" s="243"/>
      <c r="R377" s="237"/>
      <c r="S377" s="243"/>
      <c r="T377" s="237"/>
      <c r="U377" s="243"/>
      <c r="V377" s="348"/>
      <c r="W377" s="243"/>
      <c r="X377" s="237"/>
      <c r="Y377" s="243"/>
      <c r="Z377" s="237"/>
      <c r="AA377" s="243"/>
      <c r="AB377" s="237"/>
      <c r="AC377" s="243"/>
      <c r="AD377" s="237"/>
      <c r="AE377" s="243"/>
      <c r="AF377" s="525">
        <v>0</v>
      </c>
      <c r="AG377" s="243"/>
      <c r="AH377" s="237"/>
      <c r="AI377" s="243"/>
    </row>
    <row r="378" spans="2:35" ht="12" thickBot="1">
      <c r="B378" s="364" t="s">
        <v>193</v>
      </c>
      <c r="C378" s="244"/>
      <c r="D378" s="245">
        <f>F378+H378+J378+L378+N378+P378+R378+T378+V378+X378+Z378+AB378+AD378+AF378+AH378</f>
        <v>0</v>
      </c>
      <c r="E378" s="243"/>
      <c r="F378" s="245"/>
      <c r="G378" s="243"/>
      <c r="H378" s="245"/>
      <c r="I378" s="243"/>
      <c r="J378" s="245"/>
      <c r="K378" s="243"/>
      <c r="L378" s="245"/>
      <c r="M378" s="243"/>
      <c r="N378" s="245"/>
      <c r="O378" s="243"/>
      <c r="P378" s="245"/>
      <c r="Q378" s="243"/>
      <c r="R378" s="245"/>
      <c r="S378" s="243"/>
      <c r="T378" s="245"/>
      <c r="U378" s="243"/>
      <c r="V378" s="344"/>
      <c r="W378" s="243"/>
      <c r="X378" s="245"/>
      <c r="Y378" s="243"/>
      <c r="Z378" s="245"/>
      <c r="AA378" s="243"/>
      <c r="AB378" s="245"/>
      <c r="AC378" s="243"/>
      <c r="AD378" s="245"/>
      <c r="AE378" s="243"/>
      <c r="AF378" s="245">
        <v>0</v>
      </c>
      <c r="AG378" s="243"/>
      <c r="AH378" s="245"/>
      <c r="AI378" s="243"/>
    </row>
    <row r="379" spans="2:35">
      <c r="B379" s="364" t="s">
        <v>93</v>
      </c>
      <c r="C379" s="244"/>
      <c r="D379" s="237">
        <f>SUM(D376:D378)</f>
        <v>0</v>
      </c>
      <c r="E379" s="243"/>
      <c r="F379" s="237">
        <f>SUM(F376:F378)</f>
        <v>0</v>
      </c>
      <c r="G379" s="243"/>
      <c r="H379" s="237">
        <f>SUM(H376:H378)</f>
        <v>0</v>
      </c>
      <c r="I379" s="243"/>
      <c r="J379" s="237">
        <f>SUM(J376:J378)</f>
        <v>0</v>
      </c>
      <c r="K379" s="243"/>
      <c r="L379" s="237">
        <f>SUM(L376:L378)</f>
        <v>0</v>
      </c>
      <c r="M379" s="243"/>
      <c r="N379" s="237">
        <f>SUM(N376:N378)</f>
        <v>0</v>
      </c>
      <c r="O379" s="243"/>
      <c r="P379" s="237">
        <f>SUM(P376:P378)</f>
        <v>0</v>
      </c>
      <c r="Q379" s="243"/>
      <c r="R379" s="237">
        <f>SUM(R376:R378)</f>
        <v>0</v>
      </c>
      <c r="S379" s="243"/>
      <c r="T379" s="237">
        <f>SUM(T376:T378)</f>
        <v>0</v>
      </c>
      <c r="U379" s="243"/>
      <c r="V379" s="348">
        <f>SUM(V376:V378)</f>
        <v>0</v>
      </c>
      <c r="W379" s="243"/>
      <c r="X379" s="237">
        <f>SUM(X376:X378)</f>
        <v>0</v>
      </c>
      <c r="Y379" s="243"/>
      <c r="Z379" s="237">
        <f>SUM(Z376:Z378)</f>
        <v>0</v>
      </c>
      <c r="AA379" s="243"/>
      <c r="AB379" s="237">
        <f>SUM(AB376:AB378)</f>
        <v>0</v>
      </c>
      <c r="AC379" s="243"/>
      <c r="AD379" s="237">
        <f>SUM(AD376:AD378)</f>
        <v>0</v>
      </c>
      <c r="AE379" s="243"/>
      <c r="AF379" s="237">
        <f>SUM(AF376:AF378)</f>
        <v>0</v>
      </c>
      <c r="AG379" s="243"/>
      <c r="AH379" s="237">
        <f>SUM(AH376:AH378)</f>
        <v>0</v>
      </c>
      <c r="AI379" s="243"/>
    </row>
    <row r="380" spans="2:35" ht="12" thickBot="1">
      <c r="B380" s="114" t="s">
        <v>258</v>
      </c>
      <c r="C380" s="244"/>
      <c r="D380" s="245">
        <f>F380+H380+J380+L380+N380+P380+R380+T380+V380+X380+Z380+AB380+AD380+AF380+AH380</f>
        <v>0</v>
      </c>
      <c r="E380" s="243">
        <f>+D379-D380</f>
        <v>0</v>
      </c>
      <c r="F380" s="245"/>
      <c r="G380" s="243">
        <f>+F379-F380</f>
        <v>0</v>
      </c>
      <c r="H380" s="245"/>
      <c r="I380" s="243">
        <f>+H379-H380</f>
        <v>0</v>
      </c>
      <c r="J380" s="245"/>
      <c r="K380" s="243">
        <f>+J379-J380</f>
        <v>0</v>
      </c>
      <c r="L380" s="245"/>
      <c r="M380" s="243">
        <f>+L379-L380</f>
        <v>0</v>
      </c>
      <c r="N380" s="245"/>
      <c r="O380" s="243">
        <f>+N379-N380</f>
        <v>0</v>
      </c>
      <c r="P380" s="245"/>
      <c r="Q380" s="243">
        <f>+P379-P380</f>
        <v>0</v>
      </c>
      <c r="R380" s="245"/>
      <c r="S380" s="243">
        <f>+R379-R380</f>
        <v>0</v>
      </c>
      <c r="T380" s="245"/>
      <c r="U380" s="243">
        <f>+T379-T380</f>
        <v>0</v>
      </c>
      <c r="V380" s="344"/>
      <c r="W380" s="243">
        <f>+V379-V380</f>
        <v>0</v>
      </c>
      <c r="X380" s="245"/>
      <c r="Y380" s="243">
        <f>+X379-X380</f>
        <v>0</v>
      </c>
      <c r="Z380" s="245"/>
      <c r="AA380" s="243">
        <f>+Z379-Z380</f>
        <v>0</v>
      </c>
      <c r="AB380" s="245"/>
      <c r="AC380" s="243">
        <f>+AB379-AB380</f>
        <v>0</v>
      </c>
      <c r="AD380" s="245"/>
      <c r="AE380" s="243">
        <f>+AD379-AD380</f>
        <v>0</v>
      </c>
      <c r="AF380" s="245">
        <f>+AF378</f>
        <v>0</v>
      </c>
      <c r="AG380" s="243">
        <f>+AF379-AF380</f>
        <v>0</v>
      </c>
      <c r="AH380" s="245"/>
      <c r="AI380" s="243">
        <f>+AH379-AH380</f>
        <v>0</v>
      </c>
    </row>
    <row r="381" spans="2:35">
      <c r="B381" s="373"/>
      <c r="C381" s="244"/>
      <c r="D381" s="237"/>
      <c r="E381" s="243"/>
      <c r="F381" s="237"/>
      <c r="G381" s="243"/>
      <c r="H381" s="237"/>
      <c r="I381" s="243"/>
      <c r="J381" s="237"/>
      <c r="K381" s="243"/>
      <c r="L381" s="237"/>
      <c r="M381" s="243"/>
      <c r="N381" s="237"/>
      <c r="O381" s="243"/>
      <c r="P381" s="237"/>
      <c r="Q381" s="243"/>
      <c r="R381" s="237"/>
      <c r="S381" s="243"/>
      <c r="T381" s="237"/>
      <c r="U381" s="243"/>
      <c r="V381" s="348"/>
      <c r="W381" s="243"/>
      <c r="X381" s="237"/>
      <c r="Y381" s="243"/>
      <c r="Z381" s="237"/>
      <c r="AA381" s="243"/>
      <c r="AB381" s="237"/>
      <c r="AC381" s="243"/>
      <c r="AD381" s="237"/>
      <c r="AE381" s="243"/>
      <c r="AF381" s="237"/>
      <c r="AG381" s="243"/>
      <c r="AH381" s="237"/>
      <c r="AI381" s="243"/>
    </row>
    <row r="382" spans="2:35" ht="12" thickBot="1">
      <c r="B382" s="665" t="s">
        <v>860</v>
      </c>
      <c r="C382" s="248"/>
      <c r="D382" s="245"/>
      <c r="E382" s="252">
        <f>+SUM(E369:E381)</f>
        <v>8325338</v>
      </c>
      <c r="F382" s="245"/>
      <c r="G382" s="252">
        <f>+SUM(G369:G381)</f>
        <v>-2185120</v>
      </c>
      <c r="H382" s="245"/>
      <c r="I382" s="252">
        <f>+SUM(I369:I381)</f>
        <v>0</v>
      </c>
      <c r="J382" s="245"/>
      <c r="K382" s="252">
        <f>+SUM(K369:K381)</f>
        <v>0</v>
      </c>
      <c r="L382" s="245"/>
      <c r="M382" s="252">
        <f>+SUM(M369:M381)</f>
        <v>0</v>
      </c>
      <c r="N382" s="245"/>
      <c r="O382" s="252">
        <f>+SUM(O369:O381)</f>
        <v>0</v>
      </c>
      <c r="P382" s="245"/>
      <c r="Q382" s="252">
        <f>+SUM(Q369:Q381)</f>
        <v>0</v>
      </c>
      <c r="R382" s="245"/>
      <c r="S382" s="252">
        <f>+SUM(S369:S381)</f>
        <v>0</v>
      </c>
      <c r="T382" s="245"/>
      <c r="U382" s="252">
        <f>+SUM(U369:U381)</f>
        <v>0</v>
      </c>
      <c r="V382" s="344"/>
      <c r="W382" s="252">
        <f>+SUM(W369:W381)</f>
        <v>0</v>
      </c>
      <c r="X382" s="245"/>
      <c r="Y382" s="252">
        <f>+SUM(Y369:Y381)</f>
        <v>0</v>
      </c>
      <c r="Z382" s="245"/>
      <c r="AA382" s="252">
        <f>+SUM(AA369:AA381)</f>
        <v>10510458</v>
      </c>
      <c r="AB382" s="245"/>
      <c r="AC382" s="252">
        <f>+SUM(AC369:AC381)</f>
        <v>0</v>
      </c>
      <c r="AD382" s="245"/>
      <c r="AE382" s="252">
        <f>+SUM(AE369:AE381)</f>
        <v>0</v>
      </c>
      <c r="AF382" s="245"/>
      <c r="AG382" s="252">
        <f>+SUM(AG369:AG381)</f>
        <v>0</v>
      </c>
      <c r="AH382" s="245"/>
      <c r="AI382" s="252">
        <f>+SUM(AI369:AI381)</f>
        <v>0</v>
      </c>
    </row>
    <row r="384" spans="2:35" ht="33" hidden="1" customHeight="1">
      <c r="B384" s="1475" t="s">
        <v>927</v>
      </c>
      <c r="C384" s="1475"/>
      <c r="D384" s="1475"/>
      <c r="E384" s="1475"/>
      <c r="F384" s="1475"/>
      <c r="G384" s="1475"/>
    </row>
    <row r="386" spans="2:35">
      <c r="B386" s="419" t="s">
        <v>104</v>
      </c>
    </row>
    <row r="387" spans="2:35" hidden="1"/>
    <row r="388" spans="2:35">
      <c r="B388" s="318" t="s">
        <v>105</v>
      </c>
    </row>
    <row r="389" spans="2:35" hidden="1"/>
    <row r="390" spans="2:35" ht="12" thickBot="1">
      <c r="G390" s="335" t="s">
        <v>247</v>
      </c>
    </row>
    <row r="391" spans="2:35" ht="12" thickBot="1">
      <c r="B391" s="365"/>
      <c r="C391" s="274"/>
      <c r="D391" s="1463" t="s">
        <v>860</v>
      </c>
      <c r="E391" s="1464"/>
      <c r="F391" s="1463" t="s">
        <v>17</v>
      </c>
      <c r="G391" s="1464"/>
      <c r="H391" s="1463" t="s">
        <v>18</v>
      </c>
      <c r="I391" s="1464"/>
      <c r="J391" s="1463" t="s">
        <v>19</v>
      </c>
      <c r="K391" s="1464"/>
      <c r="L391" s="1463" t="s">
        <v>20</v>
      </c>
      <c r="M391" s="1464"/>
      <c r="N391" s="1463" t="s">
        <v>21</v>
      </c>
      <c r="O391" s="1464"/>
      <c r="P391" s="1463" t="s">
        <v>22</v>
      </c>
      <c r="Q391" s="1464"/>
      <c r="R391" s="1463" t="s">
        <v>23</v>
      </c>
      <c r="S391" s="1464"/>
      <c r="T391" s="1463" t="s">
        <v>24</v>
      </c>
      <c r="U391" s="1464"/>
      <c r="V391" s="1463" t="s">
        <v>25</v>
      </c>
      <c r="W391" s="1464"/>
      <c r="X391" s="1463" t="s">
        <v>26</v>
      </c>
      <c r="Y391" s="1464"/>
      <c r="Z391" s="1463" t="s">
        <v>27</v>
      </c>
      <c r="AA391" s="1464"/>
      <c r="AB391" s="1463"/>
      <c r="AC391" s="1464"/>
      <c r="AD391" s="1463" t="s">
        <v>1266</v>
      </c>
      <c r="AE391" s="1464"/>
      <c r="AF391" s="1463" t="s">
        <v>30</v>
      </c>
      <c r="AG391" s="1464"/>
      <c r="AH391" s="1463" t="s">
        <v>31</v>
      </c>
      <c r="AI391" s="1464"/>
    </row>
    <row r="392" spans="2:35">
      <c r="B392" s="249"/>
      <c r="C392" s="250"/>
      <c r="D392" s="249"/>
      <c r="E392" s="250"/>
      <c r="F392" s="249"/>
      <c r="G392" s="250"/>
      <c r="H392" s="249"/>
      <c r="I392" s="250"/>
      <c r="J392" s="249"/>
      <c r="K392" s="250"/>
      <c r="L392" s="249"/>
      <c r="M392" s="250"/>
      <c r="N392" s="249"/>
      <c r="O392" s="250"/>
      <c r="P392" s="249"/>
      <c r="Q392" s="250"/>
      <c r="R392" s="249"/>
      <c r="S392" s="250"/>
      <c r="T392" s="249"/>
      <c r="U392" s="250"/>
      <c r="V392" s="383"/>
      <c r="W392" s="250"/>
      <c r="X392" s="249"/>
      <c r="Y392" s="250"/>
      <c r="Z392" s="249"/>
      <c r="AA392" s="250"/>
      <c r="AB392" s="249"/>
      <c r="AC392" s="250"/>
      <c r="AD392" s="249"/>
      <c r="AE392" s="250"/>
      <c r="AF392" s="249"/>
      <c r="AG392" s="250"/>
      <c r="AH392" s="249"/>
      <c r="AI392" s="250"/>
    </row>
    <row r="393" spans="2:35">
      <c r="B393" s="392" t="s">
        <v>1183</v>
      </c>
      <c r="C393" s="243"/>
      <c r="D393" s="237"/>
      <c r="E393" s="243"/>
      <c r="F393" s="237"/>
      <c r="G393" s="243"/>
      <c r="H393" s="237"/>
      <c r="I393" s="243"/>
      <c r="J393" s="237"/>
      <c r="K393" s="243"/>
      <c r="L393" s="237"/>
      <c r="M393" s="243"/>
      <c r="N393" s="237"/>
      <c r="O393" s="243"/>
      <c r="P393" s="237"/>
      <c r="Q393" s="243"/>
      <c r="R393" s="237"/>
      <c r="S393" s="243"/>
      <c r="T393" s="237"/>
      <c r="U393" s="243"/>
      <c r="V393" s="348"/>
      <c r="W393" s="243"/>
      <c r="X393" s="237"/>
      <c r="Y393" s="243"/>
      <c r="Z393" s="237"/>
      <c r="AA393" s="243"/>
      <c r="AB393" s="237"/>
      <c r="AC393" s="243"/>
      <c r="AD393" s="237"/>
      <c r="AE393" s="243"/>
      <c r="AF393" s="237"/>
      <c r="AG393" s="243"/>
      <c r="AH393" s="237"/>
      <c r="AI393" s="243"/>
    </row>
    <row r="394" spans="2:35">
      <c r="B394" s="420" t="s">
        <v>1184</v>
      </c>
      <c r="C394" s="243"/>
      <c r="D394" s="237">
        <f>F394+H394+J394+L394+N394+P394+R394+T394+V394+X394+Z394+AB394+AD394+AF394+AH394</f>
        <v>0</v>
      </c>
      <c r="E394" s="243"/>
      <c r="F394" s="237"/>
      <c r="G394" s="243"/>
      <c r="H394" s="237"/>
      <c r="I394" s="243"/>
      <c r="J394" s="237"/>
      <c r="K394" s="243"/>
      <c r="L394" s="237"/>
      <c r="M394" s="243"/>
      <c r="N394" s="237"/>
      <c r="O394" s="243"/>
      <c r="P394" s="237"/>
      <c r="Q394" s="243"/>
      <c r="R394" s="237"/>
      <c r="S394" s="243"/>
      <c r="T394" s="237"/>
      <c r="U394" s="243"/>
      <c r="V394" s="348"/>
      <c r="W394" s="243"/>
      <c r="X394" s="237"/>
      <c r="Y394" s="243"/>
      <c r="Z394" s="237"/>
      <c r="AA394" s="243"/>
      <c r="AB394" s="237"/>
      <c r="AC394" s="243"/>
      <c r="AD394" s="237"/>
      <c r="AE394" s="243"/>
      <c r="AF394" s="237"/>
      <c r="AG394" s="243"/>
      <c r="AH394" s="237"/>
      <c r="AI394" s="243"/>
    </row>
    <row r="395" spans="2:35" ht="21">
      <c r="B395" s="814" t="s">
        <v>1216</v>
      </c>
      <c r="C395" s="243"/>
      <c r="D395" s="237">
        <f>F395+H395+J395+L395+N395+P395+R395+T395+V395+X395+Z395+AB395+AD395+AF395+AH395</f>
        <v>0</v>
      </c>
      <c r="E395" s="243"/>
      <c r="F395" s="237"/>
      <c r="G395" s="243"/>
      <c r="H395" s="237"/>
      <c r="I395" s="243"/>
      <c r="J395" s="237"/>
      <c r="K395" s="243"/>
      <c r="L395" s="237"/>
      <c r="M395" s="243"/>
      <c r="N395" s="237"/>
      <c r="O395" s="243"/>
      <c r="P395" s="237"/>
      <c r="Q395" s="243"/>
      <c r="R395" s="237"/>
      <c r="S395" s="243"/>
      <c r="T395" s="237"/>
      <c r="U395" s="243"/>
      <c r="V395" s="348"/>
      <c r="W395" s="243"/>
      <c r="X395" s="237"/>
      <c r="Y395" s="243"/>
      <c r="Z395" s="237"/>
      <c r="AA395" s="243"/>
      <c r="AB395" s="237"/>
      <c r="AC395" s="243"/>
      <c r="AD395" s="237"/>
      <c r="AE395" s="243"/>
      <c r="AF395" s="237"/>
      <c r="AG395" s="243"/>
      <c r="AH395" s="237"/>
      <c r="AI395" s="243"/>
    </row>
    <row r="396" spans="2:35">
      <c r="B396" s="420"/>
      <c r="C396" s="243"/>
      <c r="D396" s="237">
        <f>F396+H396+J396+L396+N396+P396+R396+T396+V396+X396+Z396+AB396+AD396+AF396+AH396</f>
        <v>0</v>
      </c>
      <c r="E396" s="243"/>
      <c r="F396" s="237"/>
      <c r="G396" s="243"/>
      <c r="H396" s="237"/>
      <c r="I396" s="243"/>
      <c r="J396" s="237"/>
      <c r="K396" s="243"/>
      <c r="L396" s="237"/>
      <c r="M396" s="243"/>
      <c r="N396" s="237"/>
      <c r="O396" s="243"/>
      <c r="P396" s="237"/>
      <c r="Q396" s="243"/>
      <c r="R396" s="237"/>
      <c r="S396" s="243"/>
      <c r="T396" s="237"/>
      <c r="U396" s="243"/>
      <c r="V396" s="348"/>
      <c r="W396" s="243"/>
      <c r="X396" s="237"/>
      <c r="Y396" s="243"/>
      <c r="Z396" s="237"/>
      <c r="AA396" s="243"/>
      <c r="AB396" s="237"/>
      <c r="AC396" s="243"/>
      <c r="AD396" s="237"/>
      <c r="AE396" s="243"/>
      <c r="AF396" s="237"/>
      <c r="AG396" s="243"/>
      <c r="AH396" s="237"/>
      <c r="AI396" s="243"/>
    </row>
    <row r="397" spans="2:35" ht="12" thickBot="1">
      <c r="B397" s="373"/>
      <c r="C397" s="243"/>
      <c r="D397" s="245">
        <f>F397+H397+J397+L397+N397+P397+R397+T397+V397+X397+Z397+AB397+AD397+AF397+AH397</f>
        <v>0</v>
      </c>
      <c r="E397" s="243">
        <f>+SUM(D394:D397)</f>
        <v>0</v>
      </c>
      <c r="F397" s="245"/>
      <c r="G397" s="243">
        <f>+SUM(F394:F397)</f>
        <v>0</v>
      </c>
      <c r="H397" s="245"/>
      <c r="I397" s="243">
        <f>+SUM(H394:H397)</f>
        <v>0</v>
      </c>
      <c r="J397" s="245"/>
      <c r="K397" s="243">
        <f>+SUM(J394:J397)</f>
        <v>0</v>
      </c>
      <c r="L397" s="245"/>
      <c r="M397" s="243">
        <f>+SUM(L394:L397)</f>
        <v>0</v>
      </c>
      <c r="N397" s="245"/>
      <c r="O397" s="243">
        <f>+SUM(N394:N397)</f>
        <v>0</v>
      </c>
      <c r="P397" s="245"/>
      <c r="Q397" s="243">
        <f>+SUM(P394:P397)</f>
        <v>0</v>
      </c>
      <c r="R397" s="245"/>
      <c r="S397" s="243">
        <f>+SUM(R394:R397)</f>
        <v>0</v>
      </c>
      <c r="T397" s="245"/>
      <c r="U397" s="243">
        <f>+SUM(T394:T397)</f>
        <v>0</v>
      </c>
      <c r="V397" s="344"/>
      <c r="W397" s="243">
        <f>+SUM(V394:V397)</f>
        <v>0</v>
      </c>
      <c r="X397" s="245"/>
      <c r="Y397" s="243">
        <f>+SUM(X394:X397)</f>
        <v>0</v>
      </c>
      <c r="Z397" s="245"/>
      <c r="AA397" s="243">
        <f>+SUM(Z394:Z397)</f>
        <v>0</v>
      </c>
      <c r="AB397" s="245"/>
      <c r="AC397" s="243">
        <f>+SUM(AB394:AB397)</f>
        <v>0</v>
      </c>
      <c r="AD397" s="245"/>
      <c r="AE397" s="243">
        <f>+SUM(AD394:AD397)</f>
        <v>0</v>
      </c>
      <c r="AF397" s="245"/>
      <c r="AG397" s="243">
        <f>+SUM(AF394:AF397)</f>
        <v>0</v>
      </c>
      <c r="AH397" s="245"/>
      <c r="AI397" s="243">
        <f>+SUM(AH394:AH397)</f>
        <v>0</v>
      </c>
    </row>
    <row r="398" spans="2:35">
      <c r="B398" s="373"/>
      <c r="C398" s="243"/>
      <c r="D398" s="237"/>
      <c r="E398" s="243"/>
      <c r="F398" s="237"/>
      <c r="G398" s="243"/>
      <c r="H398" s="237"/>
      <c r="I398" s="243"/>
      <c r="J398" s="237"/>
      <c r="K398" s="243"/>
      <c r="L398" s="237"/>
      <c r="M398" s="243"/>
      <c r="N398" s="237"/>
      <c r="O398" s="243"/>
      <c r="P398" s="237"/>
      <c r="Q398" s="243"/>
      <c r="R398" s="237"/>
      <c r="S398" s="243"/>
      <c r="T398" s="237"/>
      <c r="U398" s="243"/>
      <c r="V398" s="348"/>
      <c r="W398" s="243"/>
      <c r="X398" s="237"/>
      <c r="Y398" s="243"/>
      <c r="Z398" s="237"/>
      <c r="AA398" s="243"/>
      <c r="AB398" s="237"/>
      <c r="AC398" s="243"/>
      <c r="AD398" s="237"/>
      <c r="AE398" s="243"/>
      <c r="AF398" s="237"/>
      <c r="AG398" s="243"/>
      <c r="AH398" s="237"/>
      <c r="AI398" s="243"/>
    </row>
    <row r="399" spans="2:35" ht="21">
      <c r="B399" s="392" t="s">
        <v>111</v>
      </c>
      <c r="C399" s="243"/>
      <c r="D399" s="237"/>
      <c r="F399" s="237"/>
      <c r="G399" s="243"/>
      <c r="H399" s="237"/>
      <c r="I399" s="243"/>
      <c r="J399" s="237"/>
      <c r="K399" s="243">
        <v>0</v>
      </c>
      <c r="L399" s="237"/>
      <c r="M399" s="243">
        <v>0</v>
      </c>
      <c r="N399" s="237"/>
      <c r="O399" s="243">
        <v>0</v>
      </c>
      <c r="P399" s="237"/>
      <c r="Q399" s="243">
        <v>0</v>
      </c>
      <c r="R399" s="237"/>
      <c r="S399" s="243">
        <v>0</v>
      </c>
      <c r="T399" s="237"/>
      <c r="U399" s="243">
        <v>0</v>
      </c>
      <c r="V399" s="348"/>
      <c r="W399" s="243">
        <v>0</v>
      </c>
      <c r="X399" s="237"/>
      <c r="Y399" s="243">
        <v>0</v>
      </c>
      <c r="Z399" s="237"/>
      <c r="AA399" s="243">
        <v>0</v>
      </c>
      <c r="AB399" s="237"/>
      <c r="AC399" s="243">
        <v>0</v>
      </c>
      <c r="AD399" s="237"/>
      <c r="AE399" s="243">
        <v>0</v>
      </c>
      <c r="AF399" s="237"/>
      <c r="AG399" s="243">
        <v>0</v>
      </c>
      <c r="AH399" s="237"/>
      <c r="AI399" s="243">
        <v>0</v>
      </c>
    </row>
    <row r="400" spans="2:35">
      <c r="B400" s="113" t="s">
        <v>1182</v>
      </c>
      <c r="C400" s="243"/>
      <c r="D400" s="237"/>
      <c r="E400" s="244">
        <f>G400+I400+K400+M400+O400+Q400+S400+U400+W400+Y400+AA400+AC400+AE400+AG400+AI400</f>
        <v>0</v>
      </c>
      <c r="F400" s="237"/>
      <c r="G400" s="243"/>
      <c r="H400" s="237"/>
      <c r="I400" s="243"/>
      <c r="J400" s="237"/>
      <c r="K400" s="243"/>
      <c r="L400" s="237"/>
      <c r="M400" s="243"/>
      <c r="N400" s="237"/>
      <c r="O400" s="243"/>
      <c r="P400" s="237"/>
      <c r="Q400" s="243"/>
      <c r="R400" s="237"/>
      <c r="S400" s="243"/>
      <c r="T400" s="237"/>
      <c r="U400" s="243"/>
      <c r="V400" s="348"/>
      <c r="W400" s="243"/>
      <c r="X400" s="237"/>
      <c r="Y400" s="243"/>
      <c r="Z400" s="237"/>
      <c r="AA400" s="243"/>
      <c r="AB400" s="237"/>
      <c r="AC400" s="243"/>
      <c r="AD400" s="237"/>
      <c r="AE400" s="243"/>
      <c r="AF400" s="237"/>
      <c r="AG400" s="243"/>
      <c r="AH400" s="237"/>
      <c r="AI400" s="243"/>
    </row>
    <row r="401" spans="2:35">
      <c r="B401" s="392" t="s">
        <v>112</v>
      </c>
      <c r="C401" s="243"/>
      <c r="D401" s="237"/>
      <c r="E401" s="243"/>
      <c r="F401" s="237"/>
      <c r="G401" s="243"/>
      <c r="H401" s="237"/>
      <c r="I401" s="243"/>
      <c r="J401" s="237"/>
      <c r="K401" s="243"/>
      <c r="L401" s="237"/>
      <c r="M401" s="243"/>
      <c r="N401" s="237"/>
      <c r="O401" s="243"/>
      <c r="P401" s="237"/>
      <c r="Q401" s="243"/>
      <c r="R401" s="237"/>
      <c r="S401" s="243"/>
      <c r="T401" s="237"/>
      <c r="U401" s="243"/>
      <c r="V401" s="348"/>
      <c r="W401" s="243"/>
      <c r="X401" s="237"/>
      <c r="Y401" s="243"/>
      <c r="Z401" s="237"/>
      <c r="AA401" s="243"/>
      <c r="AB401" s="237"/>
      <c r="AC401" s="243"/>
      <c r="AD401" s="237"/>
      <c r="AE401" s="243"/>
      <c r="AF401" s="237"/>
      <c r="AG401" s="243"/>
      <c r="AH401" s="237"/>
      <c r="AI401" s="243"/>
    </row>
    <row r="402" spans="2:35">
      <c r="B402" s="420" t="s">
        <v>107</v>
      </c>
      <c r="C402" s="243"/>
      <c r="D402" s="237">
        <f>F402+H402+J402+L402+N402+P402+R402+T402+V402+X402+Z402+AB402+AD402+AF402+AH402</f>
        <v>0</v>
      </c>
      <c r="E402" s="243"/>
      <c r="F402" s="237"/>
      <c r="G402" s="243"/>
      <c r="H402" s="237"/>
      <c r="I402" s="243"/>
      <c r="J402" s="237"/>
      <c r="K402" s="243"/>
      <c r="L402" s="237"/>
      <c r="M402" s="243"/>
      <c r="N402" s="237"/>
      <c r="O402" s="243"/>
      <c r="P402" s="237"/>
      <c r="Q402" s="243"/>
      <c r="R402" s="237"/>
      <c r="S402" s="243"/>
      <c r="T402" s="237"/>
      <c r="U402" s="243"/>
      <c r="V402" s="348"/>
      <c r="W402" s="243"/>
      <c r="X402" s="237"/>
      <c r="Y402" s="243"/>
      <c r="Z402" s="237"/>
      <c r="AA402" s="243"/>
      <c r="AB402" s="237"/>
      <c r="AC402" s="243"/>
      <c r="AD402" s="237"/>
      <c r="AE402" s="243"/>
      <c r="AF402" s="237"/>
      <c r="AG402" s="243"/>
      <c r="AH402" s="237"/>
      <c r="AI402" s="243"/>
    </row>
    <row r="403" spans="2:35">
      <c r="B403" s="420" t="s">
        <v>108</v>
      </c>
      <c r="C403" s="243"/>
      <c r="D403" s="237">
        <f>F403+H403+J403+L403+N403+P403+R403+T403+V403+X403+Z403+AB403+AD403+AF403+AH403</f>
        <v>0</v>
      </c>
      <c r="E403" s="243"/>
      <c r="F403" s="237"/>
      <c r="G403" s="243"/>
      <c r="H403" s="237"/>
      <c r="I403" s="243"/>
      <c r="J403" s="237"/>
      <c r="K403" s="243"/>
      <c r="L403" s="237"/>
      <c r="M403" s="243"/>
      <c r="N403" s="237"/>
      <c r="O403" s="243"/>
      <c r="P403" s="237"/>
      <c r="Q403" s="243"/>
      <c r="R403" s="237"/>
      <c r="S403" s="243"/>
      <c r="T403" s="237"/>
      <c r="U403" s="243"/>
      <c r="V403" s="348"/>
      <c r="W403" s="243"/>
      <c r="X403" s="237"/>
      <c r="Y403" s="243"/>
      <c r="Z403" s="237"/>
      <c r="AA403" s="243"/>
      <c r="AB403" s="237"/>
      <c r="AC403" s="243"/>
      <c r="AD403" s="237"/>
      <c r="AE403" s="243"/>
      <c r="AF403" s="237"/>
      <c r="AG403" s="243"/>
      <c r="AH403" s="237"/>
      <c r="AI403" s="243"/>
    </row>
    <row r="404" spans="2:35">
      <c r="B404" s="420" t="s">
        <v>109</v>
      </c>
      <c r="C404" s="243"/>
      <c r="D404" s="237">
        <f>F404+H404+J404+L404+N404+P404+R404+T404+V404+X404+Z404+AB404+AD404+AF404+AH404</f>
        <v>0</v>
      </c>
      <c r="E404" s="243"/>
      <c r="F404" s="237"/>
      <c r="G404" s="243"/>
      <c r="H404" s="237"/>
      <c r="I404" s="243"/>
      <c r="J404" s="237"/>
      <c r="K404" s="243"/>
      <c r="L404" s="237"/>
      <c r="M404" s="243"/>
      <c r="N404" s="237"/>
      <c r="O404" s="243"/>
      <c r="P404" s="237"/>
      <c r="Q404" s="243"/>
      <c r="R404" s="237"/>
      <c r="S404" s="243"/>
      <c r="T404" s="237"/>
      <c r="U404" s="243"/>
      <c r="V404" s="348"/>
      <c r="W404" s="243"/>
      <c r="X404" s="237"/>
      <c r="Y404" s="243"/>
      <c r="Z404" s="237"/>
      <c r="AA404" s="243"/>
      <c r="AB404" s="237"/>
      <c r="AC404" s="243"/>
      <c r="AD404" s="237"/>
      <c r="AE404" s="243"/>
      <c r="AF404" s="237"/>
      <c r="AG404" s="243"/>
      <c r="AH404" s="237"/>
      <c r="AI404" s="243"/>
    </row>
    <row r="405" spans="2:35" ht="12" thickBot="1">
      <c r="B405" s="373" t="s">
        <v>110</v>
      </c>
      <c r="C405" s="243"/>
      <c r="D405" s="245">
        <f>F405+H405+J405+L405+N405+P405+R405+T405+V405+X405+Z405+AB405+AD405+AF405+AH405</f>
        <v>0</v>
      </c>
      <c r="E405" s="243">
        <f>+SUM(D402:D405)</f>
        <v>0</v>
      </c>
      <c r="F405" s="245"/>
      <c r="G405" s="243">
        <f>+SUM(F402:F405)</f>
        <v>0</v>
      </c>
      <c r="H405" s="245"/>
      <c r="I405" s="243">
        <f>+SUM(H402:H405)</f>
        <v>0</v>
      </c>
      <c r="J405" s="245"/>
      <c r="K405" s="243">
        <f>+SUM(J402:J405)</f>
        <v>0</v>
      </c>
      <c r="L405" s="245"/>
      <c r="M405" s="243">
        <f>+SUM(L402:L405)</f>
        <v>0</v>
      </c>
      <c r="N405" s="245"/>
      <c r="O405" s="243">
        <f>+SUM(N402:N405)</f>
        <v>0</v>
      </c>
      <c r="P405" s="245"/>
      <c r="Q405" s="243">
        <f>+SUM(P402:P405)</f>
        <v>0</v>
      </c>
      <c r="R405" s="245"/>
      <c r="S405" s="243">
        <f>+SUM(R402:R405)</f>
        <v>0</v>
      </c>
      <c r="T405" s="245"/>
      <c r="U405" s="243">
        <f>+SUM(T402:T405)</f>
        <v>0</v>
      </c>
      <c r="V405" s="344"/>
      <c r="W405" s="243">
        <f>+SUM(V402:V405)</f>
        <v>0</v>
      </c>
      <c r="X405" s="245"/>
      <c r="Y405" s="243">
        <f>+SUM(X402:X405)</f>
        <v>0</v>
      </c>
      <c r="Z405" s="245"/>
      <c r="AA405" s="243">
        <f>+SUM(Z402:Z405)</f>
        <v>0</v>
      </c>
      <c r="AB405" s="245"/>
      <c r="AC405" s="243">
        <f>+SUM(AB402:AB405)</f>
        <v>0</v>
      </c>
      <c r="AD405" s="245"/>
      <c r="AE405" s="243">
        <f>+SUM(AD402:AD405)</f>
        <v>0</v>
      </c>
      <c r="AF405" s="245"/>
      <c r="AG405" s="243">
        <f>+SUM(AF402:AF405)</f>
        <v>0</v>
      </c>
      <c r="AH405" s="245"/>
      <c r="AI405" s="243">
        <f>+SUM(AH402:AH405)</f>
        <v>0</v>
      </c>
    </row>
    <row r="406" spans="2:35">
      <c r="B406" s="373"/>
      <c r="C406" s="243"/>
      <c r="D406" s="237"/>
      <c r="E406" s="243"/>
      <c r="F406" s="237"/>
      <c r="G406" s="243"/>
      <c r="H406" s="237"/>
      <c r="I406" s="243"/>
      <c r="J406" s="237"/>
      <c r="K406" s="243"/>
      <c r="L406" s="237"/>
      <c r="M406" s="243"/>
      <c r="N406" s="237"/>
      <c r="O406" s="243"/>
      <c r="P406" s="237"/>
      <c r="Q406" s="243"/>
      <c r="R406" s="237"/>
      <c r="S406" s="243"/>
      <c r="T406" s="237"/>
      <c r="U406" s="243"/>
      <c r="V406" s="348"/>
      <c r="W406" s="243"/>
      <c r="X406" s="237"/>
      <c r="Y406" s="243"/>
      <c r="Z406" s="237"/>
      <c r="AA406" s="243"/>
      <c r="AB406" s="237"/>
      <c r="AC406" s="243"/>
      <c r="AD406" s="237"/>
      <c r="AE406" s="243"/>
      <c r="AF406" s="237"/>
      <c r="AG406" s="243"/>
      <c r="AH406" s="237"/>
      <c r="AI406" s="243"/>
    </row>
    <row r="407" spans="2:35" ht="12" thickBot="1">
      <c r="B407" s="373" t="s">
        <v>806</v>
      </c>
      <c r="C407" s="243"/>
      <c r="D407" s="237"/>
      <c r="E407" s="246">
        <f>+SUM(E393:E406)</f>
        <v>0</v>
      </c>
      <c r="F407" s="237"/>
      <c r="G407" s="246">
        <f>+SUM(G393:G406)</f>
        <v>0</v>
      </c>
      <c r="H407" s="237"/>
      <c r="I407" s="246">
        <f>+SUM(I393:I406)</f>
        <v>0</v>
      </c>
      <c r="J407" s="237"/>
      <c r="K407" s="246">
        <f>+SUM(K393:K406)</f>
        <v>0</v>
      </c>
      <c r="L407" s="237"/>
      <c r="M407" s="246">
        <f>+SUM(M393:M406)</f>
        <v>0</v>
      </c>
      <c r="N407" s="237"/>
      <c r="O407" s="246">
        <f>+SUM(O393:O406)</f>
        <v>0</v>
      </c>
      <c r="P407" s="237"/>
      <c r="Q407" s="246">
        <f>+SUM(Q393:Q406)</f>
        <v>0</v>
      </c>
      <c r="R407" s="237"/>
      <c r="S407" s="246">
        <f>+SUM(S393:S406)</f>
        <v>0</v>
      </c>
      <c r="T407" s="237"/>
      <c r="U407" s="246">
        <f>+SUM(U393:U406)</f>
        <v>0</v>
      </c>
      <c r="V407" s="348"/>
      <c r="W407" s="246">
        <f>+SUM(W393:W406)</f>
        <v>0</v>
      </c>
      <c r="X407" s="237"/>
      <c r="Y407" s="246">
        <f>+SUM(Y393:Y406)</f>
        <v>0</v>
      </c>
      <c r="Z407" s="237"/>
      <c r="AA407" s="246">
        <f>+SUM(AA393:AA406)</f>
        <v>0</v>
      </c>
      <c r="AB407" s="237"/>
      <c r="AC407" s="246">
        <f>+SUM(AC393:AC406)</f>
        <v>0</v>
      </c>
      <c r="AD407" s="237"/>
      <c r="AE407" s="246">
        <f>+SUM(AE393:AE406)</f>
        <v>0</v>
      </c>
      <c r="AF407" s="237"/>
      <c r="AG407" s="246">
        <f>+SUM(AG393:AG406)</f>
        <v>0</v>
      </c>
      <c r="AH407" s="237"/>
      <c r="AI407" s="246">
        <f>+SUM(AI393:AI406)</f>
        <v>0</v>
      </c>
    </row>
    <row r="408" spans="2:35" ht="12.75" thickTop="1" thickBot="1">
      <c r="B408" s="245"/>
      <c r="C408" s="247"/>
      <c r="D408" s="245"/>
      <c r="E408" s="247"/>
      <c r="F408" s="245"/>
      <c r="G408" s="247"/>
      <c r="H408" s="245"/>
      <c r="I408" s="247"/>
      <c r="J408" s="245"/>
      <c r="K408" s="247"/>
      <c r="L408" s="245"/>
      <c r="M408" s="247"/>
      <c r="N408" s="245"/>
      <c r="O408" s="247"/>
      <c r="P408" s="245"/>
      <c r="Q408" s="247"/>
      <c r="R408" s="245"/>
      <c r="S408" s="247"/>
      <c r="T408" s="245"/>
      <c r="U408" s="247"/>
      <c r="V408" s="344"/>
      <c r="W408" s="247"/>
      <c r="X408" s="245"/>
      <c r="Y408" s="247"/>
      <c r="Z408" s="245"/>
      <c r="AA408" s="247"/>
      <c r="AB408" s="245"/>
      <c r="AC408" s="247"/>
      <c r="AD408" s="245"/>
      <c r="AE408" s="247"/>
      <c r="AF408" s="245"/>
      <c r="AG408" s="247"/>
      <c r="AH408" s="245"/>
      <c r="AI408" s="247"/>
    </row>
    <row r="410" spans="2:35" ht="34.5" hidden="1" customHeight="1">
      <c r="B410" s="1475" t="s">
        <v>928</v>
      </c>
      <c r="C410" s="1475"/>
      <c r="D410" s="1475"/>
      <c r="E410" s="1475"/>
      <c r="F410" s="1475"/>
      <c r="G410" s="1475"/>
    </row>
    <row r="411" spans="2:35" hidden="1"/>
    <row r="412" spans="2:35">
      <c r="B412" s="318" t="s">
        <v>113</v>
      </c>
    </row>
    <row r="413" spans="2:35" hidden="1"/>
    <row r="414" spans="2:35" ht="12" thickBot="1">
      <c r="G414" s="335" t="s">
        <v>247</v>
      </c>
    </row>
    <row r="415" spans="2:35" ht="12" thickBot="1">
      <c r="B415" s="365"/>
      <c r="C415" s="274"/>
      <c r="D415" s="1463" t="s">
        <v>860</v>
      </c>
      <c r="E415" s="1464"/>
      <c r="F415" s="1463" t="s">
        <v>17</v>
      </c>
      <c r="G415" s="1464"/>
      <c r="H415" s="1463" t="s">
        <v>18</v>
      </c>
      <c r="I415" s="1464"/>
      <c r="J415" s="1463" t="s">
        <v>19</v>
      </c>
      <c r="K415" s="1464"/>
      <c r="L415" s="1463" t="s">
        <v>20</v>
      </c>
      <c r="M415" s="1464"/>
      <c r="N415" s="1463" t="s">
        <v>21</v>
      </c>
      <c r="O415" s="1464"/>
      <c r="P415" s="1463" t="s">
        <v>22</v>
      </c>
      <c r="Q415" s="1464"/>
      <c r="R415" s="1463" t="s">
        <v>23</v>
      </c>
      <c r="S415" s="1464"/>
      <c r="T415" s="1463" t="s">
        <v>24</v>
      </c>
      <c r="U415" s="1464"/>
      <c r="V415" s="1463" t="s">
        <v>25</v>
      </c>
      <c r="W415" s="1464"/>
      <c r="X415" s="1463" t="s">
        <v>26</v>
      </c>
      <c r="Y415" s="1464"/>
      <c r="Z415" s="1463" t="s">
        <v>27</v>
      </c>
      <c r="AA415" s="1464"/>
      <c r="AB415" s="1463"/>
      <c r="AC415" s="1464"/>
      <c r="AD415" s="1463" t="s">
        <v>1266</v>
      </c>
      <c r="AE415" s="1464"/>
      <c r="AF415" s="1463" t="s">
        <v>30</v>
      </c>
      <c r="AG415" s="1464"/>
      <c r="AH415" s="1463" t="s">
        <v>31</v>
      </c>
      <c r="AI415" s="1464"/>
    </row>
    <row r="416" spans="2:35">
      <c r="B416" s="237"/>
      <c r="C416" s="243"/>
      <c r="D416" s="237"/>
      <c r="E416" s="243"/>
      <c r="F416" s="244"/>
      <c r="G416" s="243"/>
      <c r="H416" s="244"/>
      <c r="I416" s="243"/>
      <c r="J416" s="244"/>
      <c r="K416" s="243"/>
      <c r="L416" s="244"/>
      <c r="M416" s="243"/>
      <c r="N416" s="244"/>
      <c r="O416" s="243"/>
      <c r="P416" s="244"/>
      <c r="Q416" s="243"/>
      <c r="R416" s="244"/>
      <c r="S416" s="243"/>
      <c r="T416" s="244"/>
      <c r="U416" s="243"/>
      <c r="V416" s="341"/>
      <c r="W416" s="243"/>
      <c r="X416" s="244"/>
      <c r="Y416" s="243"/>
      <c r="Z416" s="244"/>
      <c r="AA416" s="243"/>
      <c r="AB416" s="244"/>
      <c r="AC416" s="243"/>
      <c r="AD416" s="244"/>
      <c r="AE416" s="243"/>
      <c r="AF416" s="244"/>
      <c r="AG416" s="243"/>
      <c r="AH416" s="244"/>
      <c r="AI416" s="243"/>
    </row>
    <row r="417" spans="2:35">
      <c r="B417" s="364" t="s">
        <v>115</v>
      </c>
      <c r="C417" s="243"/>
      <c r="D417" s="237">
        <f>F417+H417+J417+L417+N417+P417+R417+T417+V417+X417+Z417+AB417+AD417+AF417+AH417</f>
        <v>233907929</v>
      </c>
      <c r="E417" s="243"/>
      <c r="F417" s="244"/>
      <c r="G417" s="243"/>
      <c r="H417" s="244"/>
      <c r="I417" s="243"/>
      <c r="J417" s="244"/>
      <c r="K417" s="243"/>
      <c r="L417" s="244"/>
      <c r="M417" s="243"/>
      <c r="N417" s="244"/>
      <c r="O417" s="243"/>
      <c r="P417" s="244"/>
      <c r="Q417" s="243"/>
      <c r="R417" s="244"/>
      <c r="S417" s="243"/>
      <c r="T417" s="244"/>
      <c r="U417" s="243"/>
      <c r="V417" s="341"/>
      <c r="W417" s="243"/>
      <c r="X417" s="244"/>
      <c r="Y417" s="243"/>
      <c r="Z417" s="244"/>
      <c r="AA417" s="243"/>
      <c r="AB417" s="244"/>
      <c r="AC417" s="243"/>
      <c r="AD417" s="244">
        <v>233907929</v>
      </c>
      <c r="AE417" s="243"/>
      <c r="AF417" s="244"/>
      <c r="AG417" s="243"/>
      <c r="AH417" s="244"/>
      <c r="AI417" s="243"/>
    </row>
    <row r="418" spans="2:35">
      <c r="B418" s="364" t="s">
        <v>116</v>
      </c>
      <c r="C418" s="243"/>
      <c r="D418" s="237">
        <f>F418+H418+J418+L418+N418+P418+R418+T418+V418+X418+Z418+AB418+AD418+AF418+AH418</f>
        <v>0</v>
      </c>
      <c r="E418" s="243"/>
      <c r="F418" s="244"/>
      <c r="G418" s="243"/>
      <c r="H418" s="244"/>
      <c r="I418" s="243"/>
      <c r="J418" s="244"/>
      <c r="K418" s="243"/>
      <c r="L418" s="244"/>
      <c r="M418" s="243"/>
      <c r="N418" s="244"/>
      <c r="O418" s="243"/>
      <c r="P418" s="244"/>
      <c r="Q418" s="243"/>
      <c r="R418" s="244"/>
      <c r="S418" s="243"/>
      <c r="T418" s="244"/>
      <c r="U418" s="243"/>
      <c r="V418" s="341"/>
      <c r="W418" s="243"/>
      <c r="X418" s="244"/>
      <c r="Y418" s="243"/>
      <c r="Z418" s="244"/>
      <c r="AA418" s="243"/>
      <c r="AB418" s="244"/>
      <c r="AC418" s="243"/>
      <c r="AD418" s="244"/>
      <c r="AE418" s="243"/>
      <c r="AF418" s="244"/>
      <c r="AG418" s="243"/>
      <c r="AH418" s="244"/>
      <c r="AI418" s="243"/>
    </row>
    <row r="419" spans="2:35">
      <c r="B419" s="364" t="s">
        <v>117</v>
      </c>
      <c r="C419" s="243"/>
      <c r="D419" s="237">
        <f>F419+H419+J419+L419+N419+P419+R419+T419+V419+X419+Z419+AB419+AD419+AF419+AH419</f>
        <v>358501200</v>
      </c>
      <c r="E419" s="243"/>
      <c r="F419" s="244"/>
      <c r="G419" s="243"/>
      <c r="H419" s="244"/>
      <c r="I419" s="243"/>
      <c r="J419" s="244"/>
      <c r="K419" s="243"/>
      <c r="L419" s="244"/>
      <c r="M419" s="243"/>
      <c r="N419" s="244"/>
      <c r="O419" s="243"/>
      <c r="P419" s="244"/>
      <c r="Q419" s="243"/>
      <c r="R419" s="244"/>
      <c r="S419" s="243"/>
      <c r="T419" s="244"/>
      <c r="U419" s="243"/>
      <c r="V419" s="341"/>
      <c r="W419" s="243"/>
      <c r="X419" s="244"/>
      <c r="Y419" s="243"/>
      <c r="Z419" s="244"/>
      <c r="AA419" s="243"/>
      <c r="AB419" s="244"/>
      <c r="AC419" s="243"/>
      <c r="AD419" s="244">
        <v>358501200</v>
      </c>
      <c r="AE419" s="243"/>
      <c r="AF419" s="244"/>
      <c r="AG419" s="243"/>
      <c r="AH419" s="244"/>
      <c r="AI419" s="243"/>
    </row>
    <row r="420" spans="2:35">
      <c r="B420" s="364" t="s">
        <v>118</v>
      </c>
      <c r="C420" s="243"/>
      <c r="D420" s="237">
        <f>F420+H420+J420+L420+N420+P420+R420+T420+V420+X420+Z420+AB420+AD420+AF420+AH420</f>
        <v>2601626259</v>
      </c>
      <c r="E420" s="243"/>
      <c r="F420" s="244">
        <v>783290</v>
      </c>
      <c r="G420" s="243"/>
      <c r="H420" s="244">
        <v>19619869</v>
      </c>
      <c r="I420" s="243"/>
      <c r="J420" s="244">
        <v>1207593758</v>
      </c>
      <c r="K420" s="243"/>
      <c r="L420" s="244">
        <v>28117540</v>
      </c>
      <c r="M420" s="243"/>
      <c r="N420" s="244"/>
      <c r="O420" s="243"/>
      <c r="P420" s="244">
        <v>18465469</v>
      </c>
      <c r="Q420" s="243"/>
      <c r="R420" s="244">
        <v>8220761</v>
      </c>
      <c r="S420" s="243"/>
      <c r="T420" s="244">
        <v>991450561</v>
      </c>
      <c r="U420" s="243"/>
      <c r="V420" s="341">
        <v>24390392</v>
      </c>
      <c r="W420" s="243"/>
      <c r="X420" s="244">
        <v>19453979</v>
      </c>
      <c r="Y420" s="243"/>
      <c r="Z420" s="244">
        <v>203522997</v>
      </c>
      <c r="AA420" s="243"/>
      <c r="AB420" s="244"/>
      <c r="AC420" s="243"/>
      <c r="AD420" s="244">
        <v>10603167</v>
      </c>
      <c r="AE420" s="243"/>
      <c r="AF420" s="244">
        <v>69404476</v>
      </c>
      <c r="AG420" s="243"/>
      <c r="AH420" s="244"/>
      <c r="AI420" s="243"/>
    </row>
    <row r="421" spans="2:35" ht="21">
      <c r="B421" s="364" t="s">
        <v>114</v>
      </c>
      <c r="C421" s="243"/>
      <c r="D421" s="237"/>
      <c r="E421" s="243"/>
      <c r="F421" s="244"/>
      <c r="G421" s="243"/>
      <c r="H421" s="244"/>
      <c r="I421" s="243"/>
      <c r="J421" s="244"/>
      <c r="K421" s="243"/>
      <c r="L421" s="244"/>
      <c r="M421" s="243"/>
      <c r="N421" s="244"/>
      <c r="O421" s="243"/>
      <c r="P421" s="244"/>
      <c r="Q421" s="243"/>
      <c r="R421" s="244"/>
      <c r="S421" s="243"/>
      <c r="T421" s="244"/>
      <c r="U421" s="243"/>
      <c r="V421" s="341"/>
      <c r="W421" s="243"/>
      <c r="X421" s="244"/>
      <c r="Y421" s="243"/>
      <c r="Z421" s="244"/>
      <c r="AA421" s="243"/>
      <c r="AB421" s="244"/>
      <c r="AC421" s="243"/>
      <c r="AD421" s="244"/>
      <c r="AE421" s="243"/>
      <c r="AF421" s="244"/>
      <c r="AG421" s="243"/>
      <c r="AH421" s="244"/>
      <c r="AI421" s="243"/>
    </row>
    <row r="422" spans="2:35">
      <c r="B422" s="364" t="s">
        <v>119</v>
      </c>
      <c r="C422" s="243"/>
      <c r="D422" s="237">
        <f>F422+H422+J422+L422+N422+P422+R422+T422+V422+X422+Z422+AB422+AD422+AF422+AH422</f>
        <v>0</v>
      </c>
      <c r="E422" s="243"/>
      <c r="F422" s="244"/>
      <c r="G422" s="243"/>
      <c r="H422" s="244"/>
      <c r="I422" s="243"/>
      <c r="J422" s="244"/>
      <c r="K422" s="243"/>
      <c r="L422" s="244"/>
      <c r="M422" s="243"/>
      <c r="N422" s="244"/>
      <c r="O422" s="243"/>
      <c r="P422" s="244"/>
      <c r="Q422" s="243"/>
      <c r="R422" s="244"/>
      <c r="S422" s="243"/>
      <c r="T422" s="244"/>
      <c r="U422" s="243"/>
      <c r="V422" s="341"/>
      <c r="W422" s="243"/>
      <c r="X422" s="244"/>
      <c r="Y422" s="243"/>
      <c r="Z422" s="244"/>
      <c r="AA422" s="243"/>
      <c r="AB422" s="244"/>
      <c r="AC422" s="243"/>
      <c r="AD422" s="244"/>
      <c r="AE422" s="243"/>
      <c r="AF422" s="244"/>
      <c r="AG422" s="243"/>
      <c r="AH422" s="244"/>
      <c r="AI422" s="243"/>
    </row>
    <row r="423" spans="2:35">
      <c r="B423" s="364" t="s">
        <v>120</v>
      </c>
      <c r="C423" s="243"/>
      <c r="D423" s="237">
        <f>F423+H423+J423+L423+N423+P423+R423+T423+V423+X423+Z423+AB423+AD423+AF423+AH423</f>
        <v>0</v>
      </c>
      <c r="E423" s="243"/>
      <c r="F423" s="244"/>
      <c r="G423" s="243"/>
      <c r="H423" s="244"/>
      <c r="I423" s="243"/>
      <c r="J423" s="244"/>
      <c r="K423" s="243"/>
      <c r="L423" s="244"/>
      <c r="M423" s="243"/>
      <c r="N423" s="244"/>
      <c r="O423" s="243"/>
      <c r="P423" s="244"/>
      <c r="Q423" s="243"/>
      <c r="R423" s="244"/>
      <c r="S423" s="243"/>
      <c r="T423" s="244"/>
      <c r="U423" s="243"/>
      <c r="V423" s="341"/>
      <c r="W423" s="243"/>
      <c r="X423" s="244"/>
      <c r="Y423" s="243"/>
      <c r="Z423" s="244"/>
      <c r="AA423" s="243"/>
      <c r="AB423" s="244"/>
      <c r="AC423" s="243"/>
      <c r="AD423" s="244"/>
      <c r="AE423" s="243"/>
      <c r="AF423" s="244"/>
      <c r="AG423" s="243"/>
      <c r="AH423" s="244"/>
      <c r="AI423" s="243"/>
    </row>
    <row r="424" spans="2:35">
      <c r="B424" s="364" t="s">
        <v>121</v>
      </c>
      <c r="C424" s="243"/>
      <c r="D424" s="237">
        <f>F424+H424+J424+L424+N424+P424+R424+T424+V424+X424+Z424+AB424+AD424+AF424+AH424</f>
        <v>0</v>
      </c>
      <c r="E424" s="243"/>
      <c r="F424" s="244"/>
      <c r="G424" s="243"/>
      <c r="H424" s="244"/>
      <c r="I424" s="243"/>
      <c r="J424" s="244"/>
      <c r="K424" s="243"/>
      <c r="L424" s="244"/>
      <c r="M424" s="243"/>
      <c r="N424" s="244"/>
      <c r="O424" s="243"/>
      <c r="P424" s="244"/>
      <c r="Q424" s="243"/>
      <c r="R424" s="244"/>
      <c r="S424" s="243"/>
      <c r="T424" s="244"/>
      <c r="U424" s="243"/>
      <c r="V424" s="341"/>
      <c r="W424" s="243"/>
      <c r="X424" s="244"/>
      <c r="Y424" s="243"/>
      <c r="Z424" s="244"/>
      <c r="AA424" s="243"/>
      <c r="AB424" s="244"/>
      <c r="AC424" s="243"/>
      <c r="AD424" s="244"/>
      <c r="AE424" s="243"/>
      <c r="AF424" s="244"/>
      <c r="AG424" s="243"/>
      <c r="AH424" s="244"/>
      <c r="AI424" s="243"/>
    </row>
    <row r="425" spans="2:35" ht="12" thickBot="1">
      <c r="B425" s="364" t="s">
        <v>122</v>
      </c>
      <c r="C425" s="243"/>
      <c r="D425" s="245">
        <f>F425+H425+J425+L425+N425+P425+R425+T425+V425+X425+Z425+AB425+AD425+AF425+AH425</f>
        <v>0</v>
      </c>
      <c r="E425" s="243">
        <f>+SUM(D417:D425)</f>
        <v>3194035388</v>
      </c>
      <c r="F425" s="245"/>
      <c r="G425" s="243">
        <f>+SUM(F417:F425)</f>
        <v>783290</v>
      </c>
      <c r="H425" s="245"/>
      <c r="I425" s="243">
        <f>+SUM(H417:H425)</f>
        <v>19619869</v>
      </c>
      <c r="J425" s="245"/>
      <c r="K425" s="243">
        <f>+SUM(J417:J425)</f>
        <v>1207593758</v>
      </c>
      <c r="L425" s="245"/>
      <c r="M425" s="243">
        <f>+SUM(L417:L425)</f>
        <v>28117540</v>
      </c>
      <c r="N425" s="245"/>
      <c r="O425" s="243">
        <f>+SUM(N417:N425)</f>
        <v>0</v>
      </c>
      <c r="P425" s="245"/>
      <c r="Q425" s="243">
        <f>+SUM(P417:P425)</f>
        <v>18465469</v>
      </c>
      <c r="R425" s="245"/>
      <c r="S425" s="243">
        <f>+SUM(R417:R425)</f>
        <v>8220761</v>
      </c>
      <c r="T425" s="245"/>
      <c r="U425" s="243">
        <f>+SUM(T417:T425)</f>
        <v>991450561</v>
      </c>
      <c r="V425" s="344"/>
      <c r="W425" s="243">
        <f>+SUM(V417:V425)</f>
        <v>24390392</v>
      </c>
      <c r="X425" s="245"/>
      <c r="Y425" s="243">
        <f>+SUM(X417:X425)</f>
        <v>19453979</v>
      </c>
      <c r="Z425" s="245"/>
      <c r="AA425" s="243">
        <f>+SUM(Z417:Z425)</f>
        <v>203522997</v>
      </c>
      <c r="AB425" s="245"/>
      <c r="AC425" s="243">
        <f>+SUM(AB417:AB425)</f>
        <v>0</v>
      </c>
      <c r="AD425" s="245"/>
      <c r="AE425" s="243">
        <f>+SUM(AD417:AD425)</f>
        <v>603012296</v>
      </c>
      <c r="AF425" s="245"/>
      <c r="AG425" s="243">
        <f>+SUM(AF417:AF425)</f>
        <v>69404476</v>
      </c>
      <c r="AH425" s="245"/>
      <c r="AI425" s="243">
        <f>+SUM(AH417:AH425)</f>
        <v>0</v>
      </c>
    </row>
    <row r="426" spans="2:35">
      <c r="B426" s="327"/>
      <c r="C426" s="243"/>
      <c r="D426" s="237"/>
      <c r="E426" s="243"/>
      <c r="F426" s="244"/>
      <c r="G426" s="243"/>
      <c r="H426" s="244"/>
      <c r="I426" s="243"/>
      <c r="J426" s="244"/>
      <c r="K426" s="243"/>
      <c r="L426" s="244"/>
      <c r="M426" s="243"/>
      <c r="N426" s="244"/>
      <c r="O426" s="243"/>
      <c r="P426" s="244"/>
      <c r="Q426" s="243"/>
      <c r="R426" s="244"/>
      <c r="S426" s="243"/>
      <c r="T426" s="244"/>
      <c r="U426" s="243"/>
      <c r="V426" s="341"/>
      <c r="W426" s="243"/>
      <c r="X426" s="244"/>
      <c r="Y426" s="243"/>
      <c r="Z426" s="244"/>
      <c r="AA426" s="243"/>
      <c r="AB426" s="244"/>
      <c r="AC426" s="243"/>
      <c r="AD426" s="244"/>
      <c r="AE426" s="243"/>
      <c r="AF426" s="244"/>
      <c r="AG426" s="243"/>
      <c r="AH426" s="244"/>
      <c r="AI426" s="243"/>
    </row>
    <row r="427" spans="2:35" ht="12" thickBot="1">
      <c r="B427" s="667" t="s">
        <v>806</v>
      </c>
      <c r="C427" s="243"/>
      <c r="D427" s="237"/>
      <c r="E427" s="246">
        <f>SUM(E416:E426)</f>
        <v>3194035388</v>
      </c>
      <c r="F427" s="244"/>
      <c r="G427" s="246">
        <f>SUM(G416:G426)</f>
        <v>783290</v>
      </c>
      <c r="H427" s="244"/>
      <c r="I427" s="246">
        <f>SUM(I416:I426)</f>
        <v>19619869</v>
      </c>
      <c r="J427" s="244"/>
      <c r="K427" s="246">
        <f>SUM(K416:K426)</f>
        <v>1207593758</v>
      </c>
      <c r="L427" s="244"/>
      <c r="M427" s="246">
        <f>SUM(M416:M426)</f>
        <v>28117540</v>
      </c>
      <c r="N427" s="244"/>
      <c r="O427" s="246">
        <f>SUM(O416:O426)</f>
        <v>0</v>
      </c>
      <c r="P427" s="244"/>
      <c r="Q427" s="246">
        <f>SUM(Q416:Q426)</f>
        <v>18465469</v>
      </c>
      <c r="R427" s="244"/>
      <c r="S427" s="246">
        <f>SUM(S416:S426)</f>
        <v>8220761</v>
      </c>
      <c r="T427" s="244"/>
      <c r="U427" s="246">
        <f>SUM(U416:U426)</f>
        <v>991450561</v>
      </c>
      <c r="V427" s="341"/>
      <c r="W427" s="246">
        <f>SUM(W416:W426)</f>
        <v>24390392</v>
      </c>
      <c r="X427" s="244"/>
      <c r="Y427" s="246">
        <f>SUM(Y416:Y426)</f>
        <v>19453979</v>
      </c>
      <c r="Z427" s="244"/>
      <c r="AA427" s="246">
        <f>SUM(AA416:AA426)</f>
        <v>203522997</v>
      </c>
      <c r="AB427" s="244"/>
      <c r="AC427" s="246">
        <f>SUM(AC416:AC426)</f>
        <v>0</v>
      </c>
      <c r="AD427" s="244"/>
      <c r="AE427" s="246">
        <f>SUM(AE416:AE426)</f>
        <v>603012296</v>
      </c>
      <c r="AF427" s="244"/>
      <c r="AG427" s="246">
        <f>SUM(AG416:AG426)</f>
        <v>69404476</v>
      </c>
      <c r="AH427" s="244"/>
      <c r="AI427" s="246">
        <f>SUM(AI416:AI426)</f>
        <v>0</v>
      </c>
    </row>
    <row r="428" spans="2:35" ht="12.75" thickTop="1" thickBot="1">
      <c r="B428" s="245"/>
      <c r="C428" s="247"/>
      <c r="D428" s="245"/>
      <c r="E428" s="247"/>
      <c r="F428" s="248"/>
      <c r="G428" s="247"/>
      <c r="H428" s="248"/>
      <c r="I428" s="247"/>
      <c r="J428" s="248"/>
      <c r="K428" s="247"/>
      <c r="L428" s="248"/>
      <c r="M428" s="247"/>
      <c r="N428" s="248"/>
      <c r="O428" s="247"/>
      <c r="P428" s="248"/>
      <c r="Q428" s="247"/>
      <c r="R428" s="248"/>
      <c r="S428" s="247"/>
      <c r="T428" s="248"/>
      <c r="U428" s="247"/>
      <c r="V428" s="384"/>
      <c r="W428" s="247"/>
      <c r="X428" s="248"/>
      <c r="Y428" s="247"/>
      <c r="Z428" s="248"/>
      <c r="AA428" s="247"/>
      <c r="AB428" s="248"/>
      <c r="AC428" s="247"/>
      <c r="AD428" s="248"/>
      <c r="AE428" s="247"/>
      <c r="AF428" s="248"/>
      <c r="AG428" s="247"/>
      <c r="AH428" s="248"/>
      <c r="AI428" s="247"/>
    </row>
    <row r="429" spans="2:35" hidden="1"/>
    <row r="430" spans="2:35" hidden="1">
      <c r="B430" s="1477" t="s">
        <v>123</v>
      </c>
      <c r="C430" s="1477"/>
      <c r="D430" s="1477"/>
      <c r="E430" s="1477"/>
      <c r="F430" s="1477"/>
      <c r="G430" s="1477"/>
    </row>
    <row r="431" spans="2:35" hidden="1">
      <c r="X431" s="301" t="s">
        <v>371</v>
      </c>
    </row>
    <row r="432" spans="2:35" ht="12" hidden="1">
      <c r="B432" s="1477" t="s">
        <v>126</v>
      </c>
      <c r="C432" s="1477"/>
      <c r="D432" s="1477"/>
      <c r="E432" s="1477"/>
      <c r="F432" s="1477"/>
      <c r="G432" s="1477"/>
    </row>
    <row r="433" spans="2:35" hidden="1"/>
    <row r="434" spans="2:35" hidden="1">
      <c r="B434" s="1477" t="s">
        <v>124</v>
      </c>
      <c r="C434" s="1477"/>
      <c r="D434" s="1477"/>
      <c r="E434" s="1477"/>
      <c r="F434" s="1477"/>
      <c r="G434" s="1477"/>
    </row>
    <row r="435" spans="2:35" hidden="1"/>
    <row r="436" spans="2:35" hidden="1">
      <c r="B436" s="1477" t="s">
        <v>125</v>
      </c>
      <c r="C436" s="1477"/>
      <c r="D436" s="1477"/>
      <c r="E436" s="1477"/>
      <c r="F436" s="1477"/>
      <c r="G436" s="1477"/>
    </row>
    <row r="437" spans="2:35" hidden="1"/>
    <row r="438" spans="2:35" ht="12" thickBot="1">
      <c r="G438" s="335" t="s">
        <v>248</v>
      </c>
    </row>
    <row r="439" spans="2:35" ht="12" thickBot="1">
      <c r="B439" s="421" t="s">
        <v>127</v>
      </c>
      <c r="C439" s="274"/>
      <c r="D439" s="1463" t="s">
        <v>860</v>
      </c>
      <c r="E439" s="1464"/>
      <c r="F439" s="1463" t="s">
        <v>17</v>
      </c>
      <c r="G439" s="1464"/>
      <c r="H439" s="1463" t="s">
        <v>18</v>
      </c>
      <c r="I439" s="1464"/>
      <c r="J439" s="1463" t="s">
        <v>19</v>
      </c>
      <c r="K439" s="1464"/>
      <c r="L439" s="1463" t="s">
        <v>20</v>
      </c>
      <c r="M439" s="1464"/>
      <c r="N439" s="1463" t="s">
        <v>21</v>
      </c>
      <c r="O439" s="1464"/>
      <c r="P439" s="1463" t="s">
        <v>22</v>
      </c>
      <c r="Q439" s="1464"/>
      <c r="R439" s="1463" t="s">
        <v>23</v>
      </c>
      <c r="S439" s="1464"/>
      <c r="T439" s="1463" t="s">
        <v>24</v>
      </c>
      <c r="U439" s="1464"/>
      <c r="V439" s="1463" t="s">
        <v>25</v>
      </c>
      <c r="W439" s="1464"/>
      <c r="X439" s="1463" t="s">
        <v>26</v>
      </c>
      <c r="Y439" s="1464"/>
      <c r="Z439" s="1463" t="s">
        <v>27</v>
      </c>
      <c r="AA439" s="1464"/>
      <c r="AB439" s="1463"/>
      <c r="AC439" s="1464"/>
      <c r="AD439" s="1463" t="s">
        <v>1266</v>
      </c>
      <c r="AE439" s="1464"/>
      <c r="AF439" s="1463" t="s">
        <v>30</v>
      </c>
      <c r="AG439" s="1464"/>
      <c r="AH439" s="1463" t="s">
        <v>31</v>
      </c>
      <c r="AI439" s="1464"/>
    </row>
    <row r="440" spans="2:35" ht="12" thickBot="1">
      <c r="B440" s="286"/>
      <c r="C440" s="250"/>
      <c r="D440" s="336" t="s">
        <v>128</v>
      </c>
      <c r="E440" s="320" t="s">
        <v>788</v>
      </c>
      <c r="F440" s="336" t="s">
        <v>128</v>
      </c>
      <c r="G440" s="320" t="s">
        <v>129</v>
      </c>
      <c r="H440" s="336" t="s">
        <v>128</v>
      </c>
      <c r="I440" s="320" t="s">
        <v>129</v>
      </c>
      <c r="J440" s="336" t="s">
        <v>128</v>
      </c>
      <c r="K440" s="320" t="s">
        <v>129</v>
      </c>
      <c r="L440" s="336" t="s">
        <v>128</v>
      </c>
      <c r="M440" s="320" t="s">
        <v>129</v>
      </c>
      <c r="N440" s="336" t="s">
        <v>128</v>
      </c>
      <c r="O440" s="320" t="s">
        <v>129</v>
      </c>
      <c r="P440" s="336" t="s">
        <v>128</v>
      </c>
      <c r="Q440" s="320" t="s">
        <v>129</v>
      </c>
      <c r="R440" s="336" t="s">
        <v>128</v>
      </c>
      <c r="S440" s="320" t="s">
        <v>129</v>
      </c>
      <c r="T440" s="336" t="s">
        <v>128</v>
      </c>
      <c r="U440" s="320" t="s">
        <v>129</v>
      </c>
      <c r="V440" s="323" t="s">
        <v>128</v>
      </c>
      <c r="W440" s="320" t="s">
        <v>129</v>
      </c>
      <c r="X440" s="336" t="s">
        <v>128</v>
      </c>
      <c r="Y440" s="320" t="s">
        <v>129</v>
      </c>
      <c r="Z440" s="336" t="s">
        <v>128</v>
      </c>
      <c r="AA440" s="320" t="s">
        <v>129</v>
      </c>
      <c r="AB440" s="336" t="s">
        <v>128</v>
      </c>
      <c r="AC440" s="320" t="s">
        <v>129</v>
      </c>
      <c r="AD440" s="336" t="s">
        <v>128</v>
      </c>
      <c r="AE440" s="320" t="s">
        <v>129</v>
      </c>
      <c r="AF440" s="336" t="s">
        <v>128</v>
      </c>
      <c r="AG440" s="320" t="s">
        <v>129</v>
      </c>
      <c r="AH440" s="336" t="s">
        <v>128</v>
      </c>
      <c r="AI440" s="320" t="s">
        <v>129</v>
      </c>
    </row>
    <row r="441" spans="2:35">
      <c r="B441" s="422" t="s">
        <v>130</v>
      </c>
      <c r="C441" s="243"/>
      <c r="D441" s="241">
        <f t="shared" ref="D441:E443" si="24">F441+H441+J441+L441+N441+P441+R441+T441+V441+X441+Z441+AB441+AD441+AF441+AH441</f>
        <v>0</v>
      </c>
      <c r="E441" s="489">
        <f t="shared" si="24"/>
        <v>0</v>
      </c>
      <c r="F441" s="240"/>
      <c r="G441" s="243"/>
      <c r="H441" s="240"/>
      <c r="I441" s="243"/>
      <c r="J441" s="240"/>
      <c r="K441" s="487"/>
      <c r="L441" s="240"/>
      <c r="M441" s="487"/>
      <c r="N441" s="240"/>
      <c r="O441" s="243"/>
      <c r="P441" s="240"/>
      <c r="Q441" s="243"/>
      <c r="R441" s="240"/>
      <c r="S441" s="243"/>
      <c r="T441" s="240"/>
      <c r="U441" s="243"/>
      <c r="V441" s="423"/>
      <c r="W441" s="487"/>
      <c r="X441" s="240"/>
      <c r="Y441" s="487"/>
      <c r="Z441" s="240"/>
      <c r="AA441" s="487"/>
      <c r="AB441" s="240"/>
      <c r="AC441" s="243"/>
      <c r="AD441" s="240"/>
      <c r="AE441" s="243"/>
      <c r="AF441" s="240"/>
      <c r="AG441" s="243"/>
      <c r="AH441" s="240"/>
      <c r="AI441" s="243"/>
    </row>
    <row r="442" spans="2:35">
      <c r="B442" s="422" t="s">
        <v>131</v>
      </c>
      <c r="C442" s="243"/>
      <c r="D442" s="237">
        <f t="shared" si="24"/>
        <v>0</v>
      </c>
      <c r="E442" s="237">
        <f t="shared" si="24"/>
        <v>0</v>
      </c>
      <c r="F442" s="241"/>
      <c r="G442" s="243"/>
      <c r="H442" s="241"/>
      <c r="I442" s="243"/>
      <c r="J442" s="241"/>
      <c r="K442" s="243"/>
      <c r="L442" s="241"/>
      <c r="M442" s="243"/>
      <c r="N442" s="241"/>
      <c r="O442" s="243"/>
      <c r="P442" s="241"/>
      <c r="Q442" s="243"/>
      <c r="R442" s="241"/>
      <c r="S442" s="243"/>
      <c r="T442" s="241"/>
      <c r="U442" s="243"/>
      <c r="V442" s="325"/>
      <c r="W442" s="243"/>
      <c r="X442" s="241"/>
      <c r="Y442" s="243"/>
      <c r="Z442" s="241"/>
      <c r="AA442" s="243"/>
      <c r="AB442" s="241"/>
      <c r="AC442" s="243"/>
      <c r="AD442" s="241"/>
      <c r="AE442" s="243"/>
      <c r="AF442" s="241"/>
      <c r="AG442" s="243"/>
      <c r="AH442" s="241"/>
      <c r="AI442" s="243"/>
    </row>
    <row r="443" spans="2:35">
      <c r="B443" s="422" t="s">
        <v>132</v>
      </c>
      <c r="C443" s="243"/>
      <c r="D443" s="237">
        <f t="shared" si="24"/>
        <v>0</v>
      </c>
      <c r="E443" s="237">
        <f t="shared" si="24"/>
        <v>0</v>
      </c>
      <c r="F443" s="241"/>
      <c r="G443" s="243"/>
      <c r="H443" s="241"/>
      <c r="I443" s="243"/>
      <c r="J443" s="241"/>
      <c r="K443" s="243"/>
      <c r="L443" s="241"/>
      <c r="M443" s="243"/>
      <c r="N443" s="241"/>
      <c r="O443" s="243"/>
      <c r="P443" s="241"/>
      <c r="Q443" s="243"/>
      <c r="R443" s="241"/>
      <c r="S443" s="243"/>
      <c r="T443" s="241"/>
      <c r="U443" s="243"/>
      <c r="V443" s="325"/>
      <c r="W443" s="243"/>
      <c r="X443" s="241"/>
      <c r="Y443" s="487"/>
      <c r="Z443" s="241"/>
      <c r="AA443" s="243"/>
      <c r="AB443" s="241"/>
      <c r="AC443" s="243"/>
      <c r="AD443" s="241"/>
      <c r="AE443" s="243"/>
      <c r="AF443" s="241"/>
      <c r="AG443" s="243"/>
      <c r="AH443" s="241"/>
      <c r="AI443" s="243"/>
    </row>
    <row r="444" spans="2:35" ht="12" thickBot="1">
      <c r="B444" s="245"/>
      <c r="C444" s="247"/>
      <c r="D444" s="286"/>
      <c r="E444" s="247"/>
      <c r="F444" s="286"/>
      <c r="G444" s="247"/>
      <c r="H444" s="286"/>
      <c r="I444" s="247"/>
      <c r="J444" s="286"/>
      <c r="K444" s="247"/>
      <c r="L444" s="286"/>
      <c r="M444" s="247"/>
      <c r="N444" s="286"/>
      <c r="O444" s="247"/>
      <c r="P444" s="286"/>
      <c r="Q444" s="247"/>
      <c r="R444" s="286"/>
      <c r="S444" s="247"/>
      <c r="T444" s="286"/>
      <c r="U444" s="247"/>
      <c r="V444" s="424"/>
      <c r="W444" s="247"/>
      <c r="X444" s="286"/>
      <c r="Y444" s="247"/>
      <c r="Z444" s="286"/>
      <c r="AA444" s="247"/>
      <c r="AB444" s="286"/>
      <c r="AC444" s="247"/>
      <c r="AD444" s="286"/>
      <c r="AE444" s="247"/>
      <c r="AF444" s="286"/>
      <c r="AG444" s="247"/>
      <c r="AH444" s="286"/>
      <c r="AI444" s="247"/>
    </row>
    <row r="446" spans="2:35">
      <c r="B446" s="318" t="s">
        <v>133</v>
      </c>
    </row>
    <row r="447" spans="2:35" ht="12" thickBot="1">
      <c r="G447" s="335" t="s">
        <v>247</v>
      </c>
    </row>
    <row r="448" spans="2:35" ht="12" thickBot="1">
      <c r="B448" s="425"/>
      <c r="C448" s="274"/>
      <c r="D448" s="1463" t="s">
        <v>860</v>
      </c>
      <c r="E448" s="1464"/>
      <c r="F448" s="1463" t="s">
        <v>17</v>
      </c>
      <c r="G448" s="1464"/>
      <c r="H448" s="1463" t="s">
        <v>18</v>
      </c>
      <c r="I448" s="1464"/>
      <c r="J448" s="1463" t="s">
        <v>19</v>
      </c>
      <c r="K448" s="1464"/>
      <c r="L448" s="1463" t="s">
        <v>20</v>
      </c>
      <c r="M448" s="1464"/>
      <c r="N448" s="1463" t="s">
        <v>21</v>
      </c>
      <c r="O448" s="1464"/>
      <c r="P448" s="1463" t="s">
        <v>22</v>
      </c>
      <c r="Q448" s="1464"/>
      <c r="R448" s="1463" t="s">
        <v>23</v>
      </c>
      <c r="S448" s="1464"/>
      <c r="T448" s="1463" t="s">
        <v>24</v>
      </c>
      <c r="U448" s="1464"/>
      <c r="V448" s="1463" t="s">
        <v>25</v>
      </c>
      <c r="W448" s="1464"/>
      <c r="X448" s="1463" t="s">
        <v>26</v>
      </c>
      <c r="Y448" s="1464"/>
      <c r="Z448" s="1463" t="s">
        <v>27</v>
      </c>
      <c r="AA448" s="1464"/>
      <c r="AB448" s="1463"/>
      <c r="AC448" s="1464"/>
      <c r="AD448" s="1463" t="s">
        <v>1266</v>
      </c>
      <c r="AE448" s="1464"/>
      <c r="AF448" s="1463" t="s">
        <v>30</v>
      </c>
      <c r="AG448" s="1464"/>
      <c r="AH448" s="1463" t="s">
        <v>31</v>
      </c>
      <c r="AI448" s="1464"/>
    </row>
    <row r="449" spans="2:35" ht="14.25">
      <c r="B449" s="426"/>
      <c r="C449" s="251"/>
      <c r="D449" s="249"/>
      <c r="E449" s="250"/>
      <c r="F449" s="251"/>
      <c r="G449" s="250"/>
      <c r="H449" s="251"/>
      <c r="I449" s="250"/>
      <c r="J449" s="251"/>
      <c r="K449" s="250"/>
      <c r="L449" s="251"/>
      <c r="M449" s="250"/>
      <c r="N449" s="251"/>
      <c r="O449" s="250"/>
      <c r="P449" s="251"/>
      <c r="Q449" s="250"/>
      <c r="R449" s="251"/>
      <c r="S449" s="250"/>
      <c r="T449" s="251"/>
      <c r="U449" s="250"/>
      <c r="V449" s="427"/>
      <c r="W449" s="250"/>
      <c r="X449" s="251"/>
      <c r="Y449" s="250"/>
      <c r="Z449" s="251"/>
      <c r="AA449" s="250"/>
      <c r="AB449" s="251"/>
      <c r="AC449" s="250"/>
      <c r="AD449" s="251"/>
      <c r="AE449" s="250"/>
      <c r="AF449" s="251"/>
      <c r="AG449" s="250"/>
      <c r="AH449" s="251"/>
      <c r="AI449" s="250"/>
    </row>
    <row r="450" spans="2:35" ht="30.75" customHeight="1">
      <c r="B450" s="1483" t="s">
        <v>136</v>
      </c>
      <c r="C450" s="244"/>
      <c r="D450" s="237"/>
      <c r="E450" s="243"/>
      <c r="F450" s="244"/>
      <c r="G450" s="243"/>
      <c r="H450" s="244"/>
      <c r="I450" s="243"/>
      <c r="J450" s="244"/>
      <c r="K450" s="243"/>
      <c r="L450" s="244"/>
      <c r="M450" s="243"/>
      <c r="N450" s="244"/>
      <c r="O450" s="243"/>
      <c r="P450" s="244"/>
      <c r="Q450" s="243"/>
      <c r="R450" s="244"/>
      <c r="S450" s="243"/>
      <c r="T450" s="244"/>
      <c r="U450" s="243"/>
      <c r="V450" s="341"/>
      <c r="W450" s="243"/>
      <c r="X450" s="244"/>
      <c r="Y450" s="243"/>
      <c r="Z450" s="244"/>
      <c r="AA450" s="243"/>
      <c r="AB450" s="244"/>
      <c r="AC450" s="243"/>
      <c r="AD450" s="244"/>
      <c r="AE450" s="243"/>
      <c r="AF450" s="244"/>
      <c r="AG450" s="243"/>
      <c r="AH450" s="244"/>
      <c r="AI450" s="243"/>
    </row>
    <row r="451" spans="2:35" ht="5.25" customHeight="1">
      <c r="B451" s="1483"/>
      <c r="C451" s="244"/>
      <c r="D451" s="237"/>
      <c r="E451" s="243"/>
      <c r="F451" s="244"/>
      <c r="G451" s="243"/>
      <c r="H451" s="244"/>
      <c r="I451" s="243"/>
      <c r="J451" s="244"/>
      <c r="K451" s="243"/>
      <c r="L451" s="244"/>
      <c r="M451" s="243"/>
      <c r="N451" s="244"/>
      <c r="O451" s="243"/>
      <c r="P451" s="244"/>
      <c r="Q451" s="243"/>
      <c r="R451" s="244"/>
      <c r="S451" s="243"/>
      <c r="T451" s="244"/>
      <c r="U451" s="243"/>
      <c r="V451" s="341"/>
      <c r="W451" s="243"/>
      <c r="X451" s="244"/>
      <c r="Y451" s="243"/>
      <c r="Z451" s="244"/>
      <c r="AA451" s="243"/>
      <c r="AB451" s="244"/>
      <c r="AC451" s="243"/>
      <c r="AD451" s="244"/>
      <c r="AE451" s="243"/>
      <c r="AF451" s="244"/>
      <c r="AG451" s="243"/>
      <c r="AH451" s="244"/>
      <c r="AI451" s="243"/>
    </row>
    <row r="452" spans="2:35">
      <c r="B452" s="377" t="s">
        <v>195</v>
      </c>
      <c r="C452" s="244"/>
      <c r="D452" s="237">
        <f>F452+H452+J452+L452+N452+P452+R452+T452+V452+X452+Z452+AB452+AD452+AF452+AH452</f>
        <v>529924773</v>
      </c>
      <c r="E452" s="243"/>
      <c r="F452" s="244"/>
      <c r="G452" s="243"/>
      <c r="H452" s="244">
        <v>19541</v>
      </c>
      <c r="I452" s="243"/>
      <c r="J452" s="244"/>
      <c r="K452" s="243"/>
      <c r="L452" s="244"/>
      <c r="M452" s="243"/>
      <c r="N452" s="244"/>
      <c r="O452" s="243"/>
      <c r="P452" s="244">
        <v>16846024</v>
      </c>
      <c r="Q452" s="243"/>
      <c r="R452" s="244"/>
      <c r="S452" s="243"/>
      <c r="T452" s="244"/>
      <c r="U452" s="243"/>
      <c r="V452" s="341"/>
      <c r="W452" s="243"/>
      <c r="X452" s="244"/>
      <c r="Y452" s="243"/>
      <c r="Z452" s="244"/>
      <c r="AA452" s="243"/>
      <c r="AB452" s="244"/>
      <c r="AC452" s="243"/>
      <c r="AD452" s="244"/>
      <c r="AE452" s="243"/>
      <c r="AF452" s="244">
        <v>513059208</v>
      </c>
      <c r="AG452" s="243"/>
      <c r="AH452" s="244"/>
      <c r="AI452" s="243"/>
    </row>
    <row r="453" spans="2:35">
      <c r="B453" s="377" t="s">
        <v>978</v>
      </c>
      <c r="C453" s="244"/>
      <c r="D453" s="237">
        <f>F453+H453+J453+L453+N453+P453+R453+T453+V453+X453+Z453+AB453+AD453+AF453+AH453</f>
        <v>3121854572</v>
      </c>
      <c r="E453" s="243"/>
      <c r="F453" s="244">
        <v>4690596</v>
      </c>
      <c r="G453" s="243"/>
      <c r="H453" s="244"/>
      <c r="I453" s="243"/>
      <c r="J453" s="244">
        <f>384761339-(107087329+27364130)</f>
        <v>250309880</v>
      </c>
      <c r="K453" s="243"/>
      <c r="L453" s="244">
        <v>4798490</v>
      </c>
      <c r="M453" s="243"/>
      <c r="N453" s="244"/>
      <c r="O453" s="243"/>
      <c r="P453" s="244">
        <v>3631677</v>
      </c>
      <c r="Q453" s="243"/>
      <c r="R453" s="244"/>
      <c r="S453" s="243"/>
      <c r="T453" s="244">
        <v>2260933908</v>
      </c>
      <c r="U453" s="243"/>
      <c r="V453" s="341">
        <v>50743775</v>
      </c>
      <c r="W453" s="243"/>
      <c r="X453" s="244"/>
      <c r="Y453" s="243"/>
      <c r="Z453" s="244"/>
      <c r="AA453" s="243"/>
      <c r="AB453" s="244"/>
      <c r="AC453" s="243"/>
      <c r="AD453" s="244">
        <v>7506258</v>
      </c>
      <c r="AE453" s="243"/>
      <c r="AF453" s="244">
        <v>539239988</v>
      </c>
      <c r="AG453" s="243"/>
      <c r="AH453" s="244"/>
      <c r="AI453" s="243"/>
    </row>
    <row r="454" spans="2:35" ht="12" thickBot="1">
      <c r="B454" s="377" t="s">
        <v>977</v>
      </c>
      <c r="C454" s="244"/>
      <c r="D454" s="245">
        <f>F454+H454+J454+L454+N454+P454+R454+T454+V454+X454+Z454+AB454+AD454+AF454+AH454</f>
        <v>205596752</v>
      </c>
      <c r="E454" s="243"/>
      <c r="F454" s="245"/>
      <c r="G454" s="243"/>
      <c r="H454" s="245"/>
      <c r="I454" s="243"/>
      <c r="J454" s="245"/>
      <c r="K454" s="243"/>
      <c r="L454" s="245"/>
      <c r="M454" s="243"/>
      <c r="N454" s="245"/>
      <c r="O454" s="243"/>
      <c r="P454" s="245"/>
      <c r="Q454" s="243"/>
      <c r="R454" s="245"/>
      <c r="S454" s="243"/>
      <c r="T454" s="245"/>
      <c r="U454" s="243"/>
      <c r="V454" s="344">
        <v>82660675</v>
      </c>
      <c r="W454" s="243"/>
      <c r="X454" s="245"/>
      <c r="Y454" s="243"/>
      <c r="Z454" s="245"/>
      <c r="AA454" s="243"/>
      <c r="AB454" s="245"/>
      <c r="AC454" s="243"/>
      <c r="AD454" s="245">
        <v>122936077</v>
      </c>
      <c r="AE454" s="243"/>
      <c r="AF454" s="245"/>
      <c r="AG454" s="243"/>
      <c r="AH454" s="245"/>
      <c r="AI454" s="243"/>
    </row>
    <row r="455" spans="2:35">
      <c r="B455" s="327"/>
      <c r="C455" s="244"/>
      <c r="D455" s="237">
        <f>+SUM(D451:D454)</f>
        <v>3857376097</v>
      </c>
      <c r="E455" s="243"/>
      <c r="F455" s="237">
        <f>+SUM(F451:F454)</f>
        <v>4690596</v>
      </c>
      <c r="G455" s="243"/>
      <c r="H455" s="237">
        <f>+SUM(H451:H454)</f>
        <v>19541</v>
      </c>
      <c r="I455" s="243"/>
      <c r="J455" s="237">
        <f>+SUM(J451:J454)</f>
        <v>250309880</v>
      </c>
      <c r="K455" s="243"/>
      <c r="L455" s="237">
        <f>+SUM(L451:L454)</f>
        <v>4798490</v>
      </c>
      <c r="M455" s="243"/>
      <c r="N455" s="237">
        <f>+SUM(N451:N454)</f>
        <v>0</v>
      </c>
      <c r="O455" s="243"/>
      <c r="P455" s="237">
        <f>+SUM(P451:P454)</f>
        <v>20477701</v>
      </c>
      <c r="Q455" s="243"/>
      <c r="R455" s="237">
        <f>+SUM(R451:R454)</f>
        <v>0</v>
      </c>
      <c r="S455" s="243"/>
      <c r="T455" s="237">
        <f>+SUM(T451:T454)</f>
        <v>2260933908</v>
      </c>
      <c r="U455" s="243"/>
      <c r="V455" s="237">
        <f>+SUM(V451:V454)</f>
        <v>133404450</v>
      </c>
      <c r="W455" s="243"/>
      <c r="X455" s="237">
        <f>+SUM(X451:X454)</f>
        <v>0</v>
      </c>
      <c r="Y455" s="243"/>
      <c r="Z455" s="237">
        <f>+SUM(Z451:Z454)</f>
        <v>0</v>
      </c>
      <c r="AA455" s="243"/>
      <c r="AB455" s="237">
        <f>+SUM(AB451:AB454)</f>
        <v>0</v>
      </c>
      <c r="AC455" s="243"/>
      <c r="AD455" s="237">
        <f>+SUM(AD451:AD454)</f>
        <v>130442335</v>
      </c>
      <c r="AE455" s="243"/>
      <c r="AF455" s="237">
        <f>+SUM(AF451:AF454)</f>
        <v>1052299196</v>
      </c>
      <c r="AG455" s="243"/>
      <c r="AH455" s="237">
        <f>+SUM(AH451:AH454)</f>
        <v>0</v>
      </c>
      <c r="AI455" s="243"/>
    </row>
    <row r="456" spans="2:35" ht="12" thickBot="1">
      <c r="B456" s="327" t="s">
        <v>134</v>
      </c>
      <c r="C456" s="244"/>
      <c r="D456" s="245">
        <f>F456+H456+J456+L456+N456+P456+R456+T456+V456+X456+Z456+AB456+AD456+AF456+AH456</f>
        <v>205596752</v>
      </c>
      <c r="E456" s="243">
        <f>+D455-D456</f>
        <v>3651779345</v>
      </c>
      <c r="F456" s="245"/>
      <c r="G456" s="243">
        <f>+F455-F456</f>
        <v>4690596</v>
      </c>
      <c r="H456" s="245"/>
      <c r="I456" s="243">
        <f>+H455-H456</f>
        <v>19541</v>
      </c>
      <c r="J456" s="245">
        <f>J454</f>
        <v>0</v>
      </c>
      <c r="K456" s="243">
        <f>+J455-J456</f>
        <v>250309880</v>
      </c>
      <c r="L456" s="245"/>
      <c r="M456" s="243">
        <f>+L455-L456</f>
        <v>4798490</v>
      </c>
      <c r="N456" s="245"/>
      <c r="O456" s="243">
        <f>+N455-N456</f>
        <v>0</v>
      </c>
      <c r="P456" s="245">
        <f>P454</f>
        <v>0</v>
      </c>
      <c r="Q456" s="243">
        <f>+P455-P456</f>
        <v>20477701</v>
      </c>
      <c r="R456" s="245">
        <f>R454</f>
        <v>0</v>
      </c>
      <c r="S456" s="243">
        <f>+R455-R456</f>
        <v>0</v>
      </c>
      <c r="T456" s="245">
        <f>T454</f>
        <v>0</v>
      </c>
      <c r="U456" s="243">
        <f>+T455-T456</f>
        <v>2260933908</v>
      </c>
      <c r="V456" s="344">
        <f>V454</f>
        <v>82660675</v>
      </c>
      <c r="W456" s="243">
        <f>+V455-V456</f>
        <v>50743775</v>
      </c>
      <c r="X456" s="245">
        <f>X454</f>
        <v>0</v>
      </c>
      <c r="Y456" s="243">
        <f>+X455-X456</f>
        <v>0</v>
      </c>
      <c r="Z456" s="245">
        <f>Z454</f>
        <v>0</v>
      </c>
      <c r="AA456" s="243">
        <f>+Z455-Z456</f>
        <v>0</v>
      </c>
      <c r="AB456" s="245"/>
      <c r="AC456" s="243">
        <f>+AB455-AB456</f>
        <v>0</v>
      </c>
      <c r="AD456" s="245">
        <f>AD454</f>
        <v>122936077</v>
      </c>
      <c r="AE456" s="243">
        <f>+AD455-AD456</f>
        <v>7506258</v>
      </c>
      <c r="AF456" s="245">
        <f>AF454</f>
        <v>0</v>
      </c>
      <c r="AG456" s="243">
        <f>+AF455-AF456</f>
        <v>1052299196</v>
      </c>
      <c r="AH456" s="245"/>
      <c r="AI456" s="243">
        <f>+AH455-AH456</f>
        <v>0</v>
      </c>
    </row>
    <row r="457" spans="2:35">
      <c r="B457" s="327"/>
      <c r="C457" s="244"/>
      <c r="D457" s="237"/>
      <c r="E457" s="243"/>
      <c r="F457" s="237"/>
      <c r="G457" s="243"/>
      <c r="H457" s="237"/>
      <c r="I457" s="243"/>
      <c r="J457" s="237"/>
      <c r="K457" s="243"/>
      <c r="L457" s="237"/>
      <c r="M457" s="243"/>
      <c r="N457" s="237"/>
      <c r="O457" s="243"/>
      <c r="P457" s="237"/>
      <c r="Q457" s="243"/>
      <c r="R457" s="237"/>
      <c r="S457" s="243"/>
      <c r="T457" s="237"/>
      <c r="U457" s="243"/>
      <c r="V457" s="348"/>
      <c r="W457" s="243"/>
      <c r="X457" s="237"/>
      <c r="Y457" s="243"/>
      <c r="Z457" s="237"/>
      <c r="AA457" s="243"/>
      <c r="AB457" s="237"/>
      <c r="AC457" s="243"/>
      <c r="AD457" s="237"/>
      <c r="AE457" s="243"/>
      <c r="AF457" s="237"/>
      <c r="AG457" s="243"/>
      <c r="AH457" s="237"/>
      <c r="AI457" s="243"/>
    </row>
    <row r="458" spans="2:35">
      <c r="B458" s="359" t="s">
        <v>137</v>
      </c>
      <c r="C458" s="244"/>
      <c r="D458" s="237"/>
      <c r="E458" s="243"/>
      <c r="F458" s="237"/>
      <c r="G458" s="243"/>
      <c r="H458" s="237"/>
      <c r="I458" s="243"/>
      <c r="J458" s="237"/>
      <c r="K458" s="243"/>
      <c r="L458" s="237"/>
      <c r="M458" s="243"/>
      <c r="N458" s="237"/>
      <c r="O458" s="243"/>
      <c r="P458" s="237"/>
      <c r="Q458" s="243"/>
      <c r="R458" s="237"/>
      <c r="S458" s="243"/>
      <c r="T458" s="237"/>
      <c r="U458" s="243"/>
      <c r="V458" s="348"/>
      <c r="W458" s="243"/>
      <c r="X458" s="237"/>
      <c r="Y458" s="243"/>
      <c r="Z458" s="237"/>
      <c r="AA458" s="243"/>
      <c r="AB458" s="237"/>
      <c r="AC458" s="243"/>
      <c r="AD458" s="237"/>
      <c r="AE458" s="243"/>
      <c r="AF458" s="237"/>
      <c r="AG458" s="243"/>
      <c r="AH458" s="237"/>
      <c r="AI458" s="243"/>
    </row>
    <row r="459" spans="2:35">
      <c r="B459" s="377" t="s">
        <v>195</v>
      </c>
      <c r="C459" s="244"/>
      <c r="D459" s="237">
        <f>F459+H459+J459+L459+N459+P459+R459+T459+V459+X459+Z459+AB459+AD459+AF459+AH459</f>
        <v>3553625710</v>
      </c>
      <c r="E459" s="243"/>
      <c r="F459" s="237"/>
      <c r="G459" s="243"/>
      <c r="H459" s="237">
        <v>15651643</v>
      </c>
      <c r="I459" s="243"/>
      <c r="J459" s="237"/>
      <c r="K459" s="243"/>
      <c r="L459" s="237">
        <v>286348865</v>
      </c>
      <c r="M459" s="243"/>
      <c r="N459" s="237"/>
      <c r="O459" s="243"/>
      <c r="P459" s="237">
        <v>637809659</v>
      </c>
      <c r="Q459" s="243"/>
      <c r="R459" s="237"/>
      <c r="S459" s="243"/>
      <c r="T459" s="237"/>
      <c r="U459" s="243"/>
      <c r="V459" s="348"/>
      <c r="W459" s="243"/>
      <c r="X459" s="237"/>
      <c r="Y459" s="243"/>
      <c r="Z459" s="237">
        <v>1308751073</v>
      </c>
      <c r="AA459" s="243"/>
      <c r="AB459" s="237"/>
      <c r="AC459" s="243"/>
      <c r="AD459" s="237"/>
      <c r="AE459" s="243"/>
      <c r="AF459" s="237">
        <v>1305064470</v>
      </c>
      <c r="AG459" s="243"/>
      <c r="AH459" s="237"/>
      <c r="AI459" s="243"/>
    </row>
    <row r="460" spans="2:35">
      <c r="B460" s="377" t="s">
        <v>978</v>
      </c>
      <c r="C460" s="244"/>
      <c r="D460" s="237">
        <f>F460+H460+J460+L460+N460+P460+R460+T460+V460+X460+Z460+AB460+AD460+AF460+AH460</f>
        <v>23145343279</v>
      </c>
      <c r="E460" s="243"/>
      <c r="F460" s="237">
        <v>19364704260</v>
      </c>
      <c r="G460" s="243"/>
      <c r="H460" s="237"/>
      <c r="I460" s="243"/>
      <c r="J460" s="237">
        <f>1339617000+107087329+27364130</f>
        <v>1474068459</v>
      </c>
      <c r="K460" s="243"/>
      <c r="L460" s="237"/>
      <c r="M460" s="243"/>
      <c r="N460" s="237"/>
      <c r="O460" s="243"/>
      <c r="P460" s="237">
        <v>70378109</v>
      </c>
      <c r="Q460" s="243"/>
      <c r="R460" s="237"/>
      <c r="S460" s="243"/>
      <c r="T460" s="237">
        <v>1485307037</v>
      </c>
      <c r="U460" s="243"/>
      <c r="V460" s="348">
        <v>21233930</v>
      </c>
      <c r="W460" s="243"/>
      <c r="X460" s="237"/>
      <c r="Y460" s="243"/>
      <c r="Z460" s="237"/>
      <c r="AA460" s="243"/>
      <c r="AB460" s="237"/>
      <c r="AC460" s="243"/>
      <c r="AD460" s="237">
        <v>3862927</v>
      </c>
      <c r="AE460" s="243"/>
      <c r="AF460" s="237">
        <v>725788557</v>
      </c>
      <c r="AG460" s="243"/>
      <c r="AH460" s="237"/>
      <c r="AI460" s="243"/>
    </row>
    <row r="461" spans="2:35" ht="12" thickBot="1">
      <c r="B461" s="377" t="s">
        <v>977</v>
      </c>
      <c r="C461" s="244"/>
      <c r="D461" s="245">
        <f>F461+H461+J461+L461+N461+P461+R461+T461+V461+X461+Z461+AB461+AD461+AF461+AH461</f>
        <v>0</v>
      </c>
      <c r="E461" s="243"/>
      <c r="F461" s="245"/>
      <c r="G461" s="243"/>
      <c r="H461" s="245"/>
      <c r="I461" s="243"/>
      <c r="J461" s="245"/>
      <c r="K461" s="243"/>
      <c r="L461" s="245"/>
      <c r="M461" s="243"/>
      <c r="N461" s="245"/>
      <c r="O461" s="243"/>
      <c r="P461" s="245"/>
      <c r="Q461" s="243"/>
      <c r="R461" s="245"/>
      <c r="S461" s="243"/>
      <c r="T461" s="245"/>
      <c r="U461" s="243"/>
      <c r="V461" s="344"/>
      <c r="W461" s="243"/>
      <c r="X461" s="245"/>
      <c r="Y461" s="243"/>
      <c r="Z461" s="245"/>
      <c r="AA461" s="243"/>
      <c r="AB461" s="245"/>
      <c r="AC461" s="243"/>
      <c r="AD461" s="245"/>
      <c r="AE461" s="243"/>
      <c r="AF461" s="245"/>
      <c r="AG461" s="243"/>
      <c r="AH461" s="245"/>
      <c r="AI461" s="243"/>
    </row>
    <row r="462" spans="2:35">
      <c r="B462" s="327"/>
      <c r="C462" s="244"/>
      <c r="D462" s="237">
        <f>+SUM(D458:D461)</f>
        <v>26698968989</v>
      </c>
      <c r="E462" s="243"/>
      <c r="F462" s="237">
        <f>+SUM(F458:F461)</f>
        <v>19364704260</v>
      </c>
      <c r="G462" s="243"/>
      <c r="H462" s="237">
        <f>+SUM(H458:H461)</f>
        <v>15651643</v>
      </c>
      <c r="I462" s="243"/>
      <c r="J462" s="237">
        <f>+SUM(J458:J461)</f>
        <v>1474068459</v>
      </c>
      <c r="K462" s="243"/>
      <c r="L462" s="237">
        <f>+SUM(L458:L461)</f>
        <v>286348865</v>
      </c>
      <c r="M462" s="243"/>
      <c r="N462" s="237">
        <f>+SUM(N458:N461)</f>
        <v>0</v>
      </c>
      <c r="O462" s="243"/>
      <c r="P462" s="237">
        <f>+SUM(P458:P461)</f>
        <v>708187768</v>
      </c>
      <c r="Q462" s="243"/>
      <c r="R462" s="237">
        <f>+SUM(R458:R461)</f>
        <v>0</v>
      </c>
      <c r="S462" s="243"/>
      <c r="T462" s="237">
        <f>+SUM(T458:T461)</f>
        <v>1485307037</v>
      </c>
      <c r="U462" s="243"/>
      <c r="V462" s="237">
        <f>+SUM(V458:V461)</f>
        <v>21233930</v>
      </c>
      <c r="W462" s="243"/>
      <c r="X462" s="237">
        <f>+SUM(X458:X461)</f>
        <v>0</v>
      </c>
      <c r="Y462" s="243"/>
      <c r="Z462" s="237">
        <f>+SUM(Z458:Z461)</f>
        <v>1308751073</v>
      </c>
      <c r="AA462" s="243"/>
      <c r="AB462" s="237">
        <f>+SUM(AB458:AB461)</f>
        <v>0</v>
      </c>
      <c r="AC462" s="243"/>
      <c r="AD462" s="237">
        <f>+SUM(AD458:AD461)</f>
        <v>3862927</v>
      </c>
      <c r="AE462" s="243"/>
      <c r="AF462" s="237">
        <f>+SUM(AF458:AF461)</f>
        <v>2030853027</v>
      </c>
      <c r="AG462" s="243"/>
      <c r="AH462" s="237">
        <f>+SUM(AH458:AH461)</f>
        <v>0</v>
      </c>
      <c r="AI462" s="243"/>
    </row>
    <row r="463" spans="2:35" ht="12" thickBot="1">
      <c r="B463" s="327" t="s">
        <v>135</v>
      </c>
      <c r="C463" s="244"/>
      <c r="D463" s="245">
        <f>F463+H463+J463+L463+N463+P463+R463+T463+V463+X463+Z463+AB463+AD463+AF463+AH463</f>
        <v>0</v>
      </c>
      <c r="E463" s="243">
        <f>+D462-D463</f>
        <v>26698968989</v>
      </c>
      <c r="F463" s="245">
        <f>F461</f>
        <v>0</v>
      </c>
      <c r="G463" s="243">
        <f>+F462-F463</f>
        <v>19364704260</v>
      </c>
      <c r="H463" s="245">
        <f>H461</f>
        <v>0</v>
      </c>
      <c r="I463" s="243">
        <f>+H462-H463</f>
        <v>15651643</v>
      </c>
      <c r="J463" s="245"/>
      <c r="K463" s="243">
        <f>+J462-J463</f>
        <v>1474068459</v>
      </c>
      <c r="L463" s="245">
        <f>L461</f>
        <v>0</v>
      </c>
      <c r="M463" s="243">
        <f>+L462-L463</f>
        <v>286348865</v>
      </c>
      <c r="N463" s="245"/>
      <c r="O463" s="243">
        <f>+N462-N463</f>
        <v>0</v>
      </c>
      <c r="P463" s="245"/>
      <c r="Q463" s="243">
        <f>+P462-P463</f>
        <v>708187768</v>
      </c>
      <c r="R463" s="245"/>
      <c r="S463" s="243">
        <f>+R462-R463</f>
        <v>0</v>
      </c>
      <c r="T463" s="245"/>
      <c r="U463" s="243">
        <f>+T462-T463</f>
        <v>1485307037</v>
      </c>
      <c r="V463" s="344"/>
      <c r="W463" s="243">
        <f>+V462-V463</f>
        <v>21233930</v>
      </c>
      <c r="X463" s="245"/>
      <c r="Y463" s="243">
        <f>+X462-X463</f>
        <v>0</v>
      </c>
      <c r="Z463" s="245"/>
      <c r="AA463" s="243">
        <f>+Z462-Z463</f>
        <v>1308751073</v>
      </c>
      <c r="AB463" s="245"/>
      <c r="AC463" s="243">
        <f>+AB462-AB463</f>
        <v>0</v>
      </c>
      <c r="AD463" s="245"/>
      <c r="AE463" s="243">
        <f>+AD462-AD463</f>
        <v>3862927</v>
      </c>
      <c r="AF463" s="245">
        <f>AF461</f>
        <v>0</v>
      </c>
      <c r="AG463" s="243">
        <f>+AF462-AF463</f>
        <v>2030853027</v>
      </c>
      <c r="AH463" s="245"/>
      <c r="AI463" s="243">
        <f>+AH462-AH463</f>
        <v>0</v>
      </c>
    </row>
    <row r="464" spans="2:35">
      <c r="B464" s="327"/>
      <c r="C464" s="244"/>
      <c r="D464" s="237"/>
      <c r="E464" s="243"/>
      <c r="F464" s="237"/>
      <c r="G464" s="243"/>
      <c r="H464" s="237"/>
      <c r="I464" s="243"/>
      <c r="J464" s="237"/>
      <c r="K464" s="243"/>
      <c r="L464" s="237"/>
      <c r="M464" s="243"/>
      <c r="N464" s="237"/>
      <c r="O464" s="243"/>
      <c r="P464" s="237"/>
      <c r="Q464" s="243"/>
      <c r="R464" s="237"/>
      <c r="S464" s="243"/>
      <c r="T464" s="237"/>
      <c r="U464" s="243"/>
      <c r="V464" s="348"/>
      <c r="W464" s="243"/>
      <c r="X464" s="237"/>
      <c r="Y464" s="243"/>
      <c r="Z464" s="237"/>
      <c r="AA464" s="243"/>
      <c r="AB464" s="237"/>
      <c r="AC464" s="243"/>
      <c r="AD464" s="237"/>
      <c r="AE464" s="243"/>
      <c r="AF464" s="237"/>
      <c r="AG464" s="243"/>
      <c r="AH464" s="237"/>
      <c r="AI464" s="243"/>
    </row>
    <row r="465" spans="2:35" ht="12" thickBot="1">
      <c r="B465" s="667" t="s">
        <v>806</v>
      </c>
      <c r="C465" s="244"/>
      <c r="D465" s="237"/>
      <c r="E465" s="246">
        <f>SUM(E449:E464)</f>
        <v>30350748334</v>
      </c>
      <c r="F465" s="237"/>
      <c r="G465" s="246">
        <f>SUM(G449:G464)</f>
        <v>19369394856</v>
      </c>
      <c r="H465" s="237"/>
      <c r="I465" s="246">
        <f>SUM(I449:I464)</f>
        <v>15671184</v>
      </c>
      <c r="J465" s="237"/>
      <c r="K465" s="246">
        <f>SUM(K449:K464)</f>
        <v>1724378339</v>
      </c>
      <c r="L465" s="237"/>
      <c r="M465" s="246">
        <f>SUM(M449:M464)</f>
        <v>291147355</v>
      </c>
      <c r="N465" s="237"/>
      <c r="O465" s="246">
        <f>SUM(O449:O464)</f>
        <v>0</v>
      </c>
      <c r="P465" s="237"/>
      <c r="Q465" s="246">
        <f>SUM(Q449:Q464)</f>
        <v>728665469</v>
      </c>
      <c r="R465" s="237"/>
      <c r="S465" s="246">
        <f>SUM(S449:S464)</f>
        <v>0</v>
      </c>
      <c r="T465" s="237"/>
      <c r="U465" s="246">
        <f>SUM(U449:U464)</f>
        <v>3746240945</v>
      </c>
      <c r="V465" s="348"/>
      <c r="W465" s="246">
        <f>SUM(W449:W464)</f>
        <v>71977705</v>
      </c>
      <c r="X465" s="237"/>
      <c r="Y465" s="246">
        <f>SUM(Y449:Y464)</f>
        <v>0</v>
      </c>
      <c r="Z465" s="237"/>
      <c r="AA465" s="246">
        <f>SUM(AA449:AA464)</f>
        <v>1308751073</v>
      </c>
      <c r="AB465" s="237"/>
      <c r="AC465" s="246">
        <f>SUM(AC449:AC464)</f>
        <v>0</v>
      </c>
      <c r="AD465" s="237"/>
      <c r="AE465" s="246">
        <f>SUM(AE449:AE464)</f>
        <v>11369185</v>
      </c>
      <c r="AF465" s="237"/>
      <c r="AG465" s="246">
        <f>SUM(AG449:AG464)</f>
        <v>3083152223</v>
      </c>
      <c r="AH465" s="237"/>
      <c r="AI465" s="246">
        <f>SUM(AI449:AI464)</f>
        <v>0</v>
      </c>
    </row>
    <row r="466" spans="2:35" ht="12.75" thickTop="1" thickBot="1">
      <c r="B466" s="245"/>
      <c r="C466" s="248"/>
      <c r="D466" s="245"/>
      <c r="E466" s="247"/>
      <c r="F466" s="248"/>
      <c r="G466" s="247"/>
      <c r="H466" s="248"/>
      <c r="I466" s="247"/>
      <c r="J466" s="248"/>
      <c r="K466" s="247"/>
      <c r="L466" s="248"/>
      <c r="M466" s="247"/>
      <c r="N466" s="248"/>
      <c r="O466" s="247"/>
      <c r="P466" s="248"/>
      <c r="Q466" s="247"/>
      <c r="R466" s="248"/>
      <c r="S466" s="247"/>
      <c r="T466" s="248"/>
      <c r="U466" s="247"/>
      <c r="V466" s="384"/>
      <c r="W466" s="247"/>
      <c r="X466" s="248"/>
      <c r="Y466" s="247"/>
      <c r="Z466" s="248"/>
      <c r="AA466" s="247"/>
      <c r="AB466" s="248"/>
      <c r="AC466" s="247"/>
      <c r="AD466" s="248"/>
      <c r="AE466" s="247"/>
      <c r="AF466" s="248"/>
      <c r="AG466" s="247"/>
      <c r="AH466" s="248"/>
      <c r="AI466" s="247"/>
    </row>
    <row r="467" spans="2:35">
      <c r="B467" s="244"/>
    </row>
    <row r="468" spans="2:35" ht="36.75" hidden="1" customHeight="1">
      <c r="B468" s="1475" t="s">
        <v>929</v>
      </c>
      <c r="C468" s="1475"/>
      <c r="D468" s="1475"/>
      <c r="E468" s="1475"/>
      <c r="F468" s="1475"/>
      <c r="G468" s="1475"/>
    </row>
    <row r="469" spans="2:35">
      <c r="B469" s="244"/>
    </row>
    <row r="470" spans="2:35">
      <c r="B470" s="419" t="s">
        <v>238</v>
      </c>
    </row>
    <row r="471" spans="2:35" ht="12" thickBot="1">
      <c r="G471" s="335" t="s">
        <v>247</v>
      </c>
    </row>
    <row r="472" spans="2:35" ht="12" thickBot="1">
      <c r="B472" s="425"/>
      <c r="C472" s="274"/>
      <c r="D472" s="1463" t="s">
        <v>860</v>
      </c>
      <c r="E472" s="1464"/>
      <c r="F472" s="1463" t="s">
        <v>17</v>
      </c>
      <c r="G472" s="1464"/>
      <c r="H472" s="1463" t="s">
        <v>18</v>
      </c>
      <c r="I472" s="1464"/>
      <c r="J472" s="1463" t="s">
        <v>19</v>
      </c>
      <c r="K472" s="1464"/>
      <c r="L472" s="1463" t="s">
        <v>20</v>
      </c>
      <c r="M472" s="1464"/>
      <c r="N472" s="1463" t="s">
        <v>21</v>
      </c>
      <c r="O472" s="1464"/>
      <c r="P472" s="1463" t="s">
        <v>22</v>
      </c>
      <c r="Q472" s="1464"/>
      <c r="R472" s="1463" t="s">
        <v>23</v>
      </c>
      <c r="S472" s="1464"/>
      <c r="T472" s="1463" t="s">
        <v>24</v>
      </c>
      <c r="U472" s="1464"/>
      <c r="V472" s="1463" t="s">
        <v>25</v>
      </c>
      <c r="W472" s="1464"/>
      <c r="X472" s="1463" t="s">
        <v>26</v>
      </c>
      <c r="Y472" s="1464"/>
      <c r="Z472" s="1463" t="s">
        <v>27</v>
      </c>
      <c r="AA472" s="1464"/>
      <c r="AB472" s="1463"/>
      <c r="AC472" s="1464"/>
      <c r="AD472" s="1463" t="s">
        <v>1266</v>
      </c>
      <c r="AE472" s="1464"/>
      <c r="AF472" s="1463" t="s">
        <v>30</v>
      </c>
      <c r="AG472" s="1464"/>
      <c r="AH472" s="1463" t="s">
        <v>31</v>
      </c>
      <c r="AI472" s="1464"/>
    </row>
    <row r="473" spans="2:35">
      <c r="B473" s="428" t="s">
        <v>138</v>
      </c>
      <c r="C473" s="244"/>
      <c r="D473" s="249"/>
      <c r="E473" s="250"/>
      <c r="F473" s="249"/>
      <c r="G473" s="250"/>
      <c r="H473" s="249"/>
      <c r="I473" s="250"/>
      <c r="J473" s="249"/>
      <c r="K473" s="250"/>
      <c r="L473" s="249"/>
      <c r="M473" s="250"/>
      <c r="N473" s="249"/>
      <c r="O473" s="250"/>
      <c r="P473" s="249"/>
      <c r="Q473" s="250"/>
      <c r="R473" s="249"/>
      <c r="S473" s="250"/>
      <c r="T473" s="249"/>
      <c r="U473" s="250"/>
      <c r="V473" s="383"/>
      <c r="W473" s="250"/>
      <c r="X473" s="249"/>
      <c r="Y473" s="250"/>
      <c r="Z473" s="249"/>
      <c r="AA473" s="250"/>
      <c r="AB473" s="249"/>
      <c r="AC473" s="250"/>
      <c r="AD473" s="249"/>
      <c r="AE473" s="250"/>
      <c r="AF473" s="249"/>
      <c r="AG473" s="250"/>
      <c r="AH473" s="249"/>
      <c r="AI473" s="250"/>
    </row>
    <row r="474" spans="2:35">
      <c r="B474" s="429" t="s">
        <v>199</v>
      </c>
      <c r="C474" s="244"/>
      <c r="D474" s="237"/>
      <c r="E474" s="243">
        <f>G474+I474+K474+M474+O474+Q474+S474+U474+W474+Y474+AA474+AC474+AE474+AG474+AI474</f>
        <v>988912</v>
      </c>
      <c r="F474" s="237"/>
      <c r="G474" s="243"/>
      <c r="H474" s="237"/>
      <c r="I474" s="243">
        <v>130</v>
      </c>
      <c r="J474" s="237"/>
      <c r="K474" s="243"/>
      <c r="L474" s="237"/>
      <c r="M474" s="243"/>
      <c r="N474" s="237"/>
      <c r="O474" s="243"/>
      <c r="P474" s="237"/>
      <c r="Q474" s="243"/>
      <c r="R474" s="237"/>
      <c r="S474" s="243"/>
      <c r="T474" s="237"/>
      <c r="U474" s="243">
        <v>988782</v>
      </c>
      <c r="V474" s="348"/>
      <c r="W474" s="243"/>
      <c r="X474" s="237"/>
      <c r="Y474" s="243"/>
      <c r="Z474" s="237"/>
      <c r="AA474" s="243"/>
      <c r="AB474" s="237"/>
      <c r="AC474" s="243"/>
      <c r="AD474" s="237"/>
      <c r="AE474" s="243"/>
      <c r="AF474" s="237"/>
      <c r="AG474" s="243"/>
      <c r="AH474" s="237"/>
      <c r="AI474" s="243"/>
    </row>
    <row r="475" spans="2:35">
      <c r="B475" s="429" t="s">
        <v>200</v>
      </c>
      <c r="C475" s="244"/>
      <c r="D475" s="237"/>
      <c r="E475" s="243">
        <f>G475+I475+K475+M475+O475+Q475+S475+U475+W475+Y475+AA475+AC475+AE475+AG475+AI475</f>
        <v>15250</v>
      </c>
      <c r="F475" s="237"/>
      <c r="G475" s="243">
        <v>10037</v>
      </c>
      <c r="H475" s="237"/>
      <c r="I475" s="243"/>
      <c r="J475" s="237"/>
      <c r="K475" s="243"/>
      <c r="L475" s="237"/>
      <c r="M475" s="243"/>
      <c r="N475" s="237"/>
      <c r="O475" s="243"/>
      <c r="P475" s="237"/>
      <c r="Q475" s="243">
        <v>1200</v>
      </c>
      <c r="R475" s="237"/>
      <c r="S475" s="243">
        <v>545</v>
      </c>
      <c r="T475" s="237"/>
      <c r="U475" s="243"/>
      <c r="V475" s="348"/>
      <c r="W475" s="243"/>
      <c r="X475" s="237"/>
      <c r="Y475" s="243"/>
      <c r="Z475" s="237"/>
      <c r="AA475" s="243"/>
      <c r="AB475" s="237"/>
      <c r="AC475" s="243"/>
      <c r="AD475" s="237"/>
      <c r="AE475" s="243"/>
      <c r="AF475" s="237"/>
      <c r="AG475" s="243"/>
      <c r="AH475" s="237"/>
      <c r="AI475" s="243">
        <v>3468</v>
      </c>
    </row>
    <row r="476" spans="2:35">
      <c r="B476" s="429" t="s">
        <v>201</v>
      </c>
      <c r="C476" s="244"/>
      <c r="D476" s="237"/>
      <c r="E476" s="243"/>
      <c r="F476" s="237"/>
      <c r="G476" s="243"/>
      <c r="H476" s="237"/>
      <c r="I476" s="243"/>
      <c r="J476" s="237"/>
      <c r="K476" s="243"/>
      <c r="L476" s="237"/>
      <c r="M476" s="243"/>
      <c r="N476" s="237"/>
      <c r="O476" s="243"/>
      <c r="P476" s="237"/>
      <c r="Q476" s="243"/>
      <c r="R476" s="237"/>
      <c r="S476" s="243"/>
      <c r="T476" s="237"/>
      <c r="U476" s="243"/>
      <c r="V476" s="348"/>
      <c r="W476" s="243"/>
      <c r="X476" s="237"/>
      <c r="Y476" s="243"/>
      <c r="Z476" s="237"/>
      <c r="AA476" s="243"/>
      <c r="AB476" s="237"/>
      <c r="AC476" s="243"/>
      <c r="AD476" s="237"/>
      <c r="AE476" s="243"/>
      <c r="AF476" s="237"/>
      <c r="AG476" s="243"/>
      <c r="AH476" s="237"/>
      <c r="AI476" s="243"/>
    </row>
    <row r="477" spans="2:35">
      <c r="B477" s="430" t="s">
        <v>139</v>
      </c>
      <c r="C477" s="431"/>
      <c r="D477" s="237">
        <f>F477+H477+J477+L477+N477+P477+R477+T477+V477+X477+Z477+AB477+AD477+AF477+AH477</f>
        <v>44345252</v>
      </c>
      <c r="E477" s="243"/>
      <c r="F477" s="237">
        <v>7767880</v>
      </c>
      <c r="G477" s="243"/>
      <c r="H477" s="237">
        <v>23095623</v>
      </c>
      <c r="I477" s="243"/>
      <c r="J477" s="237">
        <v>79659</v>
      </c>
      <c r="K477" s="243"/>
      <c r="L477" s="237">
        <v>78215</v>
      </c>
      <c r="M477" s="243"/>
      <c r="N477" s="237"/>
      <c r="O477" s="243"/>
      <c r="P477" s="237">
        <v>11248804</v>
      </c>
      <c r="Q477" s="243"/>
      <c r="R477" s="237">
        <v>38967</v>
      </c>
      <c r="S477" s="243"/>
      <c r="T477" s="237">
        <v>52912</v>
      </c>
      <c r="U477" s="243"/>
      <c r="V477" s="348">
        <v>60387</v>
      </c>
      <c r="W477" s="243"/>
      <c r="X477" s="237">
        <v>211186</v>
      </c>
      <c r="Y477" s="243"/>
      <c r="Z477" s="237">
        <v>38512</v>
      </c>
      <c r="AA477" s="243"/>
      <c r="AB477" s="237"/>
      <c r="AC477" s="243"/>
      <c r="AD477" s="237">
        <v>724434</v>
      </c>
      <c r="AE477" s="243"/>
      <c r="AF477" s="237">
        <v>32742</v>
      </c>
      <c r="AG477" s="243"/>
      <c r="AH477" s="237">
        <f>765400+150531</f>
        <v>915931</v>
      </c>
      <c r="AI477" s="243"/>
    </row>
    <row r="478" spans="2:35">
      <c r="B478" s="430" t="s">
        <v>140</v>
      </c>
      <c r="C478" s="431"/>
      <c r="D478" s="237">
        <f>F478+H478+J478+L478+N478+P478+R478+T478+V478+X478+Z478+AB478+AD478+AF478+AH478</f>
        <v>1005190636</v>
      </c>
      <c r="E478" s="243"/>
      <c r="F478" s="237">
        <v>1005190636</v>
      </c>
      <c r="G478" s="243"/>
      <c r="H478" s="237"/>
      <c r="I478" s="243"/>
      <c r="J478" s="237"/>
      <c r="K478" s="243"/>
      <c r="L478" s="237"/>
      <c r="M478" s="243"/>
      <c r="N478" s="237"/>
      <c r="O478" s="243"/>
      <c r="P478" s="237"/>
      <c r="Q478" s="243"/>
      <c r="R478" s="237"/>
      <c r="S478" s="243"/>
      <c r="T478" s="237"/>
      <c r="U478" s="243"/>
      <c r="V478" s="348"/>
      <c r="W478" s="243"/>
      <c r="X478" s="237"/>
      <c r="Y478" s="243"/>
      <c r="Z478" s="237"/>
      <c r="AA478" s="243"/>
      <c r="AB478" s="237"/>
      <c r="AC478" s="243"/>
      <c r="AD478" s="237"/>
      <c r="AE478" s="243"/>
      <c r="AF478" s="237"/>
      <c r="AG478" s="243"/>
      <c r="AH478" s="237"/>
      <c r="AI478" s="243"/>
    </row>
    <row r="479" spans="2:35" ht="22.5" thickBot="1">
      <c r="B479" s="345" t="s">
        <v>141</v>
      </c>
      <c r="C479" s="432"/>
      <c r="D479" s="245">
        <f>F479+H479+J479+L479+N479+P479+R479+T479+V479+X479+Z479+AB479+AD479+AF479+AH479</f>
        <v>221802163</v>
      </c>
      <c r="E479" s="243">
        <f>+SUM(D477:D479)</f>
        <v>1271338051</v>
      </c>
      <c r="F479" s="245">
        <v>31723578</v>
      </c>
      <c r="G479" s="243">
        <f>+SUM(F477:F479)</f>
        <v>1044682094</v>
      </c>
      <c r="H479" s="245">
        <v>290000</v>
      </c>
      <c r="I479" s="243">
        <f>+SUM(H477:H479)</f>
        <v>23385623</v>
      </c>
      <c r="J479" s="237">
        <v>35109200</v>
      </c>
      <c r="K479" s="243">
        <f>+SUM(J477:J479)</f>
        <v>35188859</v>
      </c>
      <c r="L479" s="245">
        <v>131880021</v>
      </c>
      <c r="M479" s="243">
        <f>+SUM(L477:L479)</f>
        <v>131958236</v>
      </c>
      <c r="N479" s="245"/>
      <c r="O479" s="243">
        <f>+SUM(N477:N479)</f>
        <v>0</v>
      </c>
      <c r="P479" s="245">
        <v>22199364</v>
      </c>
      <c r="Q479" s="243">
        <f>+SUM(P477:P479)</f>
        <v>33448168</v>
      </c>
      <c r="R479" s="245"/>
      <c r="S479" s="243">
        <f>+SUM(R477:R479)</f>
        <v>38967</v>
      </c>
      <c r="T479" s="245"/>
      <c r="U479" s="243">
        <f>+SUM(T477:T479)</f>
        <v>52912</v>
      </c>
      <c r="V479" s="344">
        <v>600000</v>
      </c>
      <c r="W479" s="243">
        <f>+SUM(V477:V479)</f>
        <v>660387</v>
      </c>
      <c r="X479" s="245"/>
      <c r="Y479" s="243">
        <f>+SUM(X477:X479)</f>
        <v>211186</v>
      </c>
      <c r="Z479" s="245"/>
      <c r="AA479" s="243">
        <f>+SUM(Z477:Z479)</f>
        <v>38512</v>
      </c>
      <c r="AB479" s="245"/>
      <c r="AC479" s="243">
        <f>+SUM(AB477:AB479)</f>
        <v>0</v>
      </c>
      <c r="AD479" s="245"/>
      <c r="AE479" s="243">
        <f>+SUM(AD477:AD479)</f>
        <v>724434</v>
      </c>
      <c r="AF479" s="245"/>
      <c r="AG479" s="243">
        <f>+SUM(AF477:AF479)</f>
        <v>32742</v>
      </c>
      <c r="AH479" s="245"/>
      <c r="AI479" s="243">
        <f>+SUM(AH477:AH479)</f>
        <v>915931</v>
      </c>
    </row>
    <row r="480" spans="2:35">
      <c r="B480" s="428"/>
      <c r="C480" s="244"/>
      <c r="D480" s="237"/>
      <c r="E480" s="243"/>
      <c r="F480" s="237"/>
      <c r="G480" s="243"/>
      <c r="H480" s="237"/>
      <c r="I480" s="243"/>
      <c r="J480" s="237"/>
      <c r="K480" s="243"/>
      <c r="L480" s="237"/>
      <c r="M480" s="243"/>
      <c r="N480" s="237"/>
      <c r="O480" s="243"/>
      <c r="P480" s="237"/>
      <c r="Q480" s="243"/>
      <c r="R480" s="237"/>
      <c r="S480" s="243"/>
      <c r="T480" s="237"/>
      <c r="U480" s="243"/>
      <c r="V480" s="348"/>
      <c r="W480" s="243"/>
      <c r="X480" s="237"/>
      <c r="Y480" s="243"/>
      <c r="Z480" s="237"/>
      <c r="AA480" s="243"/>
      <c r="AB480" s="237"/>
      <c r="AC480" s="243"/>
      <c r="AD480" s="237"/>
      <c r="AE480" s="243"/>
      <c r="AF480" s="237"/>
      <c r="AG480" s="243"/>
      <c r="AH480" s="237"/>
      <c r="AI480" s="243"/>
    </row>
    <row r="481" spans="2:35">
      <c r="B481" s="428" t="s">
        <v>237</v>
      </c>
      <c r="C481" s="244"/>
      <c r="D481" s="237"/>
      <c r="E481" s="243"/>
      <c r="F481" s="237"/>
      <c r="G481" s="243"/>
      <c r="H481" s="237"/>
      <c r="I481" s="243"/>
      <c r="J481" s="237"/>
      <c r="K481" s="243"/>
      <c r="L481" s="237"/>
      <c r="M481" s="243"/>
      <c r="N481" s="237"/>
      <c r="O481" s="243"/>
      <c r="P481" s="237"/>
      <c r="Q481" s="243"/>
      <c r="R481" s="237"/>
      <c r="S481" s="243"/>
      <c r="T481" s="237"/>
      <c r="U481" s="243"/>
      <c r="V481" s="348"/>
      <c r="W481" s="243"/>
      <c r="X481" s="237"/>
      <c r="Y481" s="243"/>
      <c r="Z481" s="237"/>
      <c r="AA481" s="243"/>
      <c r="AB481" s="237"/>
      <c r="AC481" s="243"/>
      <c r="AD481" s="237"/>
      <c r="AE481" s="243"/>
      <c r="AF481" s="237"/>
      <c r="AG481" s="243"/>
      <c r="AH481" s="237"/>
      <c r="AI481" s="243"/>
    </row>
    <row r="482" spans="2:35">
      <c r="B482" s="428"/>
      <c r="C482" s="244"/>
      <c r="D482" s="237"/>
      <c r="E482" s="243"/>
      <c r="F482" s="237"/>
      <c r="G482" s="243"/>
      <c r="H482" s="237"/>
      <c r="I482" s="243"/>
      <c r="J482" s="237"/>
      <c r="K482" s="243"/>
      <c r="L482" s="237"/>
      <c r="M482" s="243"/>
      <c r="N482" s="237"/>
      <c r="O482" s="243"/>
      <c r="P482" s="237"/>
      <c r="Q482" s="243"/>
      <c r="R482" s="237"/>
      <c r="S482" s="243"/>
      <c r="T482" s="237"/>
      <c r="U482" s="243"/>
      <c r="V482" s="348"/>
      <c r="W482" s="243"/>
      <c r="X482" s="237"/>
      <c r="Y482" s="243"/>
      <c r="Z482" s="237"/>
      <c r="AA482" s="243"/>
      <c r="AB482" s="237"/>
      <c r="AC482" s="243"/>
      <c r="AD482" s="237"/>
      <c r="AE482" s="243"/>
      <c r="AF482" s="237"/>
      <c r="AG482" s="243"/>
      <c r="AH482" s="237"/>
      <c r="AI482" s="243"/>
    </row>
    <row r="483" spans="2:35">
      <c r="B483" s="429" t="s">
        <v>711</v>
      </c>
      <c r="C483" s="433"/>
      <c r="D483" s="237">
        <f>F483+H483+J483+L483+N483+P483+R483+T483+V483+X483+Z483+AB483+AD483+AF483+AH483</f>
        <v>0</v>
      </c>
      <c r="E483" s="243"/>
      <c r="F483" s="237"/>
      <c r="G483" s="243"/>
      <c r="H483" s="237"/>
      <c r="I483" s="243"/>
      <c r="J483" s="237"/>
      <c r="K483" s="243"/>
      <c r="L483" s="237"/>
      <c r="M483" s="243"/>
      <c r="N483" s="237"/>
      <c r="O483" s="243"/>
      <c r="P483" s="237"/>
      <c r="Q483" s="243"/>
      <c r="R483" s="237"/>
      <c r="S483" s="243"/>
      <c r="T483" s="237"/>
      <c r="U483" s="243"/>
      <c r="V483" s="348"/>
      <c r="W483" s="243"/>
      <c r="X483" s="237"/>
      <c r="Y483" s="243"/>
      <c r="Z483" s="237"/>
      <c r="AA483" s="243"/>
      <c r="AB483" s="237"/>
      <c r="AC483" s="243"/>
      <c r="AD483" s="237"/>
      <c r="AE483" s="243"/>
      <c r="AF483" s="237"/>
      <c r="AG483" s="243"/>
      <c r="AH483" s="237"/>
      <c r="AI483" s="243"/>
    </row>
    <row r="484" spans="2:35" ht="22.5" customHeight="1">
      <c r="B484" s="1481" t="s">
        <v>205</v>
      </c>
      <c r="C484" s="1482"/>
      <c r="D484" s="237">
        <f>F484+H484+J484+L484+N484+P484+R484+T484+V484+X484+Z484+AB484+AD484+AF484+AH484</f>
        <v>365260984</v>
      </c>
      <c r="E484" s="243"/>
      <c r="F484" s="237">
        <v>200000000</v>
      </c>
      <c r="G484" s="243"/>
      <c r="H484" s="237"/>
      <c r="I484" s="243"/>
      <c r="J484" s="237"/>
      <c r="K484" s="243"/>
      <c r="L484" s="237"/>
      <c r="M484" s="243"/>
      <c r="N484" s="237"/>
      <c r="O484" s="243"/>
      <c r="P484" s="237">
        <v>6169523</v>
      </c>
      <c r="Q484" s="243"/>
      <c r="R484" s="237"/>
      <c r="S484" s="243"/>
      <c r="T484" s="237"/>
      <c r="U484" s="243"/>
      <c r="V484" s="348">
        <v>42268602</v>
      </c>
      <c r="W484" s="243"/>
      <c r="X484" s="237">
        <v>53572500</v>
      </c>
      <c r="Y484" s="243"/>
      <c r="Z484" s="237"/>
      <c r="AA484" s="243"/>
      <c r="AB484" s="237"/>
      <c r="AC484" s="243"/>
      <c r="AD484" s="237">
        <v>14000000</v>
      </c>
      <c r="AE484" s="243"/>
      <c r="AF484" s="237">
        <v>49250359</v>
      </c>
      <c r="AG484" s="243"/>
      <c r="AH484" s="237"/>
      <c r="AI484" s="243"/>
    </row>
    <row r="485" spans="2:35" ht="12" thickBot="1">
      <c r="B485" s="429" t="s">
        <v>206</v>
      </c>
      <c r="C485" s="433"/>
      <c r="D485" s="245">
        <f>F485+H485+J485+L485+N485+P485+R485+T485+V485+X485+Z485+AB485+AD485+AF485+AH485</f>
        <v>125000</v>
      </c>
      <c r="E485" s="243">
        <f>+SUM(D483:D485)</f>
        <v>365385984</v>
      </c>
      <c r="F485" s="245"/>
      <c r="G485" s="243">
        <f>+SUM(F483:F485)</f>
        <v>200000000</v>
      </c>
      <c r="H485" s="245"/>
      <c r="I485" s="243">
        <f>+SUM(H483:H485)</f>
        <v>0</v>
      </c>
      <c r="J485" s="245">
        <v>25000</v>
      </c>
      <c r="K485" s="243">
        <f>+SUM(J483:J485)</f>
        <v>25000</v>
      </c>
      <c r="L485" s="245"/>
      <c r="M485" s="243">
        <f>+SUM(L483:L485)</f>
        <v>0</v>
      </c>
      <c r="N485" s="245"/>
      <c r="O485" s="243">
        <f>+SUM(N483:N485)</f>
        <v>0</v>
      </c>
      <c r="P485" s="245"/>
      <c r="Q485" s="243">
        <f>+SUM(P483:P485)</f>
        <v>6169523</v>
      </c>
      <c r="R485" s="245"/>
      <c r="S485" s="243">
        <f>+SUM(R483:R485)</f>
        <v>0</v>
      </c>
      <c r="T485" s="245">
        <v>100000</v>
      </c>
      <c r="U485" s="243">
        <f>+SUM(T483:T485)</f>
        <v>100000</v>
      </c>
      <c r="V485" s="344"/>
      <c r="W485" s="243">
        <f>+SUM(V483:V485)</f>
        <v>42268602</v>
      </c>
      <c r="X485" s="245"/>
      <c r="Y485" s="243">
        <f>+SUM(X483:X485)</f>
        <v>53572500</v>
      </c>
      <c r="Z485" s="245"/>
      <c r="AA485" s="243">
        <f>+SUM(Z483:Z485)</f>
        <v>0</v>
      </c>
      <c r="AB485" s="245"/>
      <c r="AC485" s="243">
        <f>+SUM(AB483:AB485)</f>
        <v>0</v>
      </c>
      <c r="AD485" s="245"/>
      <c r="AE485" s="243">
        <f>+SUM(AD483:AD485)</f>
        <v>14000000</v>
      </c>
      <c r="AF485" s="245"/>
      <c r="AG485" s="243">
        <f>+SUM(AF483:AF485)</f>
        <v>49250359</v>
      </c>
      <c r="AH485" s="245"/>
      <c r="AI485" s="243">
        <f>+SUM(AH483:AH485)</f>
        <v>0</v>
      </c>
    </row>
    <row r="486" spans="2:35">
      <c r="B486" s="237"/>
      <c r="C486" s="244"/>
      <c r="D486" s="237"/>
      <c r="E486" s="243"/>
      <c r="F486" s="237"/>
      <c r="G486" s="243"/>
      <c r="H486" s="237"/>
      <c r="I486" s="243"/>
      <c r="J486" s="237"/>
      <c r="K486" s="243"/>
      <c r="L486" s="237"/>
      <c r="M486" s="243"/>
      <c r="N486" s="237"/>
      <c r="O486" s="243"/>
      <c r="P486" s="237"/>
      <c r="Q486" s="243"/>
      <c r="R486" s="237"/>
      <c r="S486" s="243"/>
      <c r="T486" s="237"/>
      <c r="U486" s="243"/>
      <c r="V486" s="348"/>
      <c r="W486" s="243"/>
      <c r="X486" s="237"/>
      <c r="Y486" s="243"/>
      <c r="Z486" s="237"/>
      <c r="AA486" s="243"/>
      <c r="AB486" s="237"/>
      <c r="AC486" s="243"/>
      <c r="AD486" s="237"/>
      <c r="AE486" s="243"/>
      <c r="AF486" s="237"/>
      <c r="AG486" s="243"/>
      <c r="AH486" s="237"/>
      <c r="AI486" s="243"/>
    </row>
    <row r="487" spans="2:35" ht="12" thickBot="1">
      <c r="B487" s="237" t="s">
        <v>806</v>
      </c>
      <c r="C487" s="244"/>
      <c r="D487" s="237"/>
      <c r="E487" s="246">
        <f>SUM(E474:E486)</f>
        <v>1637728197</v>
      </c>
      <c r="F487" s="237"/>
      <c r="G487" s="246">
        <f>SUM(G474:G486)</f>
        <v>1244692131</v>
      </c>
      <c r="H487" s="237"/>
      <c r="I487" s="246">
        <f>SUM(I474:I486)</f>
        <v>23385753</v>
      </c>
      <c r="J487" s="237"/>
      <c r="K487" s="246">
        <f>SUM(K474:K486)</f>
        <v>35213859</v>
      </c>
      <c r="L487" s="237"/>
      <c r="M487" s="246">
        <f>SUM(M474:M486)</f>
        <v>131958236</v>
      </c>
      <c r="N487" s="237"/>
      <c r="O487" s="246">
        <f>SUM(O474:O486)</f>
        <v>0</v>
      </c>
      <c r="P487" s="237"/>
      <c r="Q487" s="246">
        <f>SUM(Q474:Q486)</f>
        <v>39618891</v>
      </c>
      <c r="R487" s="237"/>
      <c r="S487" s="246">
        <f>SUM(S474:S486)</f>
        <v>39512</v>
      </c>
      <c r="T487" s="237"/>
      <c r="U487" s="246">
        <f>SUM(U474:U486)</f>
        <v>1141694</v>
      </c>
      <c r="V487" s="348"/>
      <c r="W487" s="246">
        <f>SUM(W474:W486)</f>
        <v>42928989</v>
      </c>
      <c r="X487" s="237"/>
      <c r="Y487" s="246">
        <f>SUM(Y474:Y486)</f>
        <v>53783686</v>
      </c>
      <c r="Z487" s="237"/>
      <c r="AA487" s="246">
        <f>SUM(AA474:AA486)</f>
        <v>38512</v>
      </c>
      <c r="AB487" s="237"/>
      <c r="AC487" s="246">
        <f>SUM(AC474:AC486)</f>
        <v>0</v>
      </c>
      <c r="AD487" s="237"/>
      <c r="AE487" s="246">
        <f>SUM(AE474:AE486)</f>
        <v>14724434</v>
      </c>
      <c r="AF487" s="237"/>
      <c r="AG487" s="246">
        <f>SUM(AG474:AG486)</f>
        <v>49283101</v>
      </c>
      <c r="AH487" s="237"/>
      <c r="AI487" s="246">
        <f>SUM(AI474:AI486)</f>
        <v>919399</v>
      </c>
    </row>
    <row r="488" spans="2:35" ht="12.75" thickTop="1" thickBot="1">
      <c r="B488" s="245"/>
      <c r="C488" s="248"/>
      <c r="D488" s="245"/>
      <c r="E488" s="247"/>
      <c r="F488" s="245"/>
      <c r="G488" s="247"/>
      <c r="H488" s="245"/>
      <c r="I488" s="247"/>
      <c r="J488" s="245"/>
      <c r="K488" s="247"/>
      <c r="L488" s="245"/>
      <c r="M488" s="247"/>
      <c r="N488" s="245"/>
      <c r="O488" s="247"/>
      <c r="P488" s="245"/>
      <c r="Q488" s="247"/>
      <c r="R488" s="245"/>
      <c r="S488" s="247"/>
      <c r="T488" s="245"/>
      <c r="U488" s="247"/>
      <c r="V488" s="344"/>
      <c r="W488" s="247"/>
      <c r="X488" s="245"/>
      <c r="Y488" s="247"/>
      <c r="Z488" s="245"/>
      <c r="AA488" s="247"/>
      <c r="AB488" s="245"/>
      <c r="AC488" s="247"/>
      <c r="AD488" s="245"/>
      <c r="AE488" s="247"/>
      <c r="AF488" s="245"/>
      <c r="AG488" s="247"/>
      <c r="AH488" s="245"/>
      <c r="AI488" s="247"/>
    </row>
    <row r="490" spans="2:35" ht="22.5" hidden="1" customHeight="1">
      <c r="B490" s="1475" t="s">
        <v>239</v>
      </c>
      <c r="C490" s="1475"/>
      <c r="D490" s="1475"/>
      <c r="E490" s="1475"/>
      <c r="F490" s="1475"/>
      <c r="G490" s="1475"/>
    </row>
    <row r="491" spans="2:35" hidden="1"/>
    <row r="492" spans="2:35" ht="21.75">
      <c r="B492" s="419" t="s">
        <v>240</v>
      </c>
    </row>
    <row r="493" spans="2:35" ht="12" thickBot="1">
      <c r="G493" s="335" t="s">
        <v>247</v>
      </c>
    </row>
    <row r="494" spans="2:35" ht="12" thickBot="1">
      <c r="B494" s="425"/>
      <c r="C494" s="274"/>
      <c r="D494" s="1463" t="s">
        <v>860</v>
      </c>
      <c r="E494" s="1464"/>
      <c r="F494" s="1463" t="s">
        <v>17</v>
      </c>
      <c r="G494" s="1464"/>
      <c r="H494" s="1463" t="s">
        <v>18</v>
      </c>
      <c r="I494" s="1464"/>
      <c r="J494" s="1463" t="s">
        <v>19</v>
      </c>
      <c r="K494" s="1464"/>
      <c r="L494" s="1463" t="s">
        <v>20</v>
      </c>
      <c r="M494" s="1464"/>
      <c r="N494" s="1463" t="s">
        <v>21</v>
      </c>
      <c r="O494" s="1464"/>
      <c r="P494" s="1463" t="s">
        <v>22</v>
      </c>
      <c r="Q494" s="1464"/>
      <c r="R494" s="1463" t="s">
        <v>23</v>
      </c>
      <c r="S494" s="1464"/>
      <c r="T494" s="1463" t="s">
        <v>24</v>
      </c>
      <c r="U494" s="1464"/>
      <c r="V494" s="1463" t="s">
        <v>25</v>
      </c>
      <c r="W494" s="1464"/>
      <c r="X494" s="1463" t="s">
        <v>26</v>
      </c>
      <c r="Y494" s="1464"/>
      <c r="Z494" s="1463" t="s">
        <v>27</v>
      </c>
      <c r="AA494" s="1464"/>
      <c r="AB494" s="1463"/>
      <c r="AC494" s="1464"/>
      <c r="AD494" s="1463" t="s">
        <v>1266</v>
      </c>
      <c r="AE494" s="1464"/>
      <c r="AF494" s="1463" t="s">
        <v>30</v>
      </c>
      <c r="AG494" s="1464"/>
      <c r="AH494" s="1463" t="s">
        <v>31</v>
      </c>
      <c r="AI494" s="1464"/>
    </row>
    <row r="495" spans="2:35" ht="21">
      <c r="B495" s="434" t="s">
        <v>1037</v>
      </c>
      <c r="C495" s="435"/>
      <c r="D495" s="237"/>
      <c r="E495" s="243"/>
      <c r="F495" s="237"/>
      <c r="G495" s="243"/>
      <c r="H495" s="237"/>
      <c r="I495" s="243"/>
      <c r="J495" s="237"/>
      <c r="K495" s="243"/>
      <c r="L495" s="237"/>
      <c r="M495" s="243"/>
      <c r="N495" s="237"/>
      <c r="O495" s="243"/>
      <c r="P495" s="237"/>
      <c r="Q495" s="243"/>
      <c r="R495" s="237"/>
      <c r="S495" s="243"/>
      <c r="T495" s="237"/>
      <c r="U495" s="243"/>
      <c r="V495" s="348"/>
      <c r="W495" s="243"/>
      <c r="X495" s="237"/>
      <c r="Y495" s="243"/>
      <c r="Z495" s="237"/>
      <c r="AA495" s="243"/>
      <c r="AB495" s="237"/>
      <c r="AC495" s="243"/>
      <c r="AD495" s="237"/>
      <c r="AE495" s="243"/>
      <c r="AF495" s="237"/>
      <c r="AG495" s="243"/>
      <c r="AH495" s="237"/>
      <c r="AI495" s="243"/>
    </row>
    <row r="496" spans="2:35">
      <c r="B496" s="436" t="s">
        <v>207</v>
      </c>
      <c r="C496" s="435"/>
      <c r="D496" s="237">
        <f>F496+H496+J496+L496+N496+P496+R496+T496+V496+X496+Z496+AB496+AD496+AF496+AH496</f>
        <v>0</v>
      </c>
      <c r="E496" s="243"/>
      <c r="F496" s="237"/>
      <c r="G496" s="243"/>
      <c r="H496" s="237"/>
      <c r="I496" s="243"/>
      <c r="J496" s="237"/>
      <c r="K496" s="243"/>
      <c r="L496" s="237"/>
      <c r="M496" s="243"/>
      <c r="N496" s="237"/>
      <c r="O496" s="243"/>
      <c r="P496" s="237"/>
      <c r="Q496" s="243"/>
      <c r="R496" s="237"/>
      <c r="S496" s="243"/>
      <c r="T496" s="237"/>
      <c r="U496" s="243"/>
      <c r="V496" s="348"/>
      <c r="W496" s="243"/>
      <c r="X496" s="237"/>
      <c r="Y496" s="243"/>
      <c r="Z496" s="237"/>
      <c r="AA496" s="243"/>
      <c r="AB496" s="237"/>
      <c r="AC496" s="243"/>
      <c r="AD496" s="237"/>
      <c r="AE496" s="243"/>
      <c r="AF496" s="237"/>
      <c r="AG496" s="243"/>
      <c r="AH496" s="237"/>
      <c r="AI496" s="243"/>
    </row>
    <row r="497" spans="2:35">
      <c r="B497" s="436" t="s">
        <v>979</v>
      </c>
      <c r="C497" s="435"/>
      <c r="D497" s="237">
        <f>F497+H497+J497+L497+N497+P497+R497+T497+V497+X497+Z497+AB497+AD497+AF497+AH497</f>
        <v>0</v>
      </c>
      <c r="E497" s="243"/>
      <c r="F497" s="237"/>
      <c r="G497" s="243"/>
      <c r="H497" s="237"/>
      <c r="I497" s="243"/>
      <c r="J497" s="237"/>
      <c r="K497" s="243"/>
      <c r="L497" s="237"/>
      <c r="M497" s="243"/>
      <c r="N497" s="237"/>
      <c r="O497" s="243"/>
      <c r="P497" s="237"/>
      <c r="Q497" s="243"/>
      <c r="R497" s="237"/>
      <c r="S497" s="243"/>
      <c r="T497" s="237"/>
      <c r="U497" s="243"/>
      <c r="V497" s="348"/>
      <c r="W497" s="243"/>
      <c r="X497" s="237"/>
      <c r="Y497" s="243"/>
      <c r="Z497" s="237"/>
      <c r="AA497" s="243"/>
      <c r="AB497" s="237"/>
      <c r="AC497" s="243"/>
      <c r="AD497" s="237"/>
      <c r="AE497" s="243"/>
      <c r="AF497" s="237"/>
      <c r="AG497" s="243"/>
      <c r="AH497" s="237"/>
      <c r="AI497" s="243"/>
    </row>
    <row r="498" spans="2:35" ht="12" thickBot="1">
      <c r="B498" s="436" t="s">
        <v>980</v>
      </c>
      <c r="C498" s="435"/>
      <c r="D498" s="245">
        <f>F498+H498+J498+L498+N498+P498+R498+T498+V498+X498+Z498+AB498+AD498+AF498+AH498</f>
        <v>0</v>
      </c>
      <c r="E498" s="243"/>
      <c r="F498" s="245"/>
      <c r="G498" s="243"/>
      <c r="H498" s="245"/>
      <c r="I498" s="243"/>
      <c r="J498" s="245"/>
      <c r="K498" s="243"/>
      <c r="L498" s="245"/>
      <c r="M498" s="243"/>
      <c r="N498" s="245"/>
      <c r="O498" s="243"/>
      <c r="P498" s="245"/>
      <c r="Q498" s="243"/>
      <c r="R498" s="245"/>
      <c r="S498" s="243"/>
      <c r="T498" s="245"/>
      <c r="U498" s="243"/>
      <c r="V498" s="344"/>
      <c r="W498" s="243"/>
      <c r="X498" s="245"/>
      <c r="Y498" s="243"/>
      <c r="Z498" s="245"/>
      <c r="AA498" s="243"/>
      <c r="AB498" s="245"/>
      <c r="AC498" s="243"/>
      <c r="AD498" s="245"/>
      <c r="AE498" s="243"/>
      <c r="AF498" s="245"/>
      <c r="AG498" s="243"/>
      <c r="AH498" s="245"/>
      <c r="AI498" s="243"/>
    </row>
    <row r="499" spans="2:35">
      <c r="B499" s="343"/>
      <c r="C499" s="435"/>
      <c r="D499" s="237">
        <f>+SUM(D496:D498)</f>
        <v>0</v>
      </c>
      <c r="E499" s="243"/>
      <c r="F499" s="237">
        <f>+SUM(F496:F498)</f>
        <v>0</v>
      </c>
      <c r="G499" s="243"/>
      <c r="H499" s="237">
        <f>+SUM(H496:H498)</f>
        <v>0</v>
      </c>
      <c r="I499" s="243"/>
      <c r="J499" s="237">
        <f>+SUM(J496:J498)</f>
        <v>0</v>
      </c>
      <c r="K499" s="243"/>
      <c r="L499" s="237">
        <f>+SUM(L496:L498)</f>
        <v>0</v>
      </c>
      <c r="M499" s="243"/>
      <c r="N499" s="237">
        <f>+SUM(N496:N498)</f>
        <v>0</v>
      </c>
      <c r="O499" s="243"/>
      <c r="P499" s="237">
        <f>+SUM(P496:P498)</f>
        <v>0</v>
      </c>
      <c r="Q499" s="243"/>
      <c r="R499" s="237">
        <f>+SUM(R496:R498)</f>
        <v>0</v>
      </c>
      <c r="S499" s="243"/>
      <c r="T499" s="237">
        <f>+SUM(T496:T498)</f>
        <v>0</v>
      </c>
      <c r="U499" s="243"/>
      <c r="V499" s="348">
        <f>+SUM(V496:V498)</f>
        <v>0</v>
      </c>
      <c r="W499" s="243"/>
      <c r="X499" s="237">
        <f>+SUM(X496:X498)</f>
        <v>0</v>
      </c>
      <c r="Y499" s="243"/>
      <c r="Z499" s="237">
        <f>+SUM(Z496:Z498)</f>
        <v>0</v>
      </c>
      <c r="AA499" s="243"/>
      <c r="AB499" s="237">
        <f>+SUM(AB496:AB498)</f>
        <v>0</v>
      </c>
      <c r="AC499" s="243"/>
      <c r="AD499" s="237">
        <f>+SUM(AD496:AD498)</f>
        <v>0</v>
      </c>
      <c r="AE499" s="243"/>
      <c r="AF499" s="237">
        <f>+SUM(AF496:AF498)</f>
        <v>0</v>
      </c>
      <c r="AG499" s="243"/>
      <c r="AH499" s="237">
        <f>+SUM(AH496:AH498)</f>
        <v>0</v>
      </c>
      <c r="AI499" s="243"/>
    </row>
    <row r="500" spans="2:35" ht="21.75" thickBot="1">
      <c r="B500" s="364" t="s">
        <v>211</v>
      </c>
      <c r="C500" s="437"/>
      <c r="D500" s="245">
        <f>F500+H500+J500+L500+N500+P500+R500+T500+V500+X500+Z500+AB500+AD500+AF500+AH500</f>
        <v>0</v>
      </c>
      <c r="E500" s="243">
        <f>+D499-D500</f>
        <v>0</v>
      </c>
      <c r="F500" s="245">
        <f>F498</f>
        <v>0</v>
      </c>
      <c r="G500" s="243">
        <f>+F499-F500</f>
        <v>0</v>
      </c>
      <c r="H500" s="245"/>
      <c r="I500" s="243">
        <f>+H499-H500</f>
        <v>0</v>
      </c>
      <c r="J500" s="245"/>
      <c r="K500" s="243">
        <f>+J499-J500</f>
        <v>0</v>
      </c>
      <c r="L500" s="245"/>
      <c r="M500" s="243">
        <f>+L499-L500</f>
        <v>0</v>
      </c>
      <c r="N500" s="245"/>
      <c r="O500" s="243">
        <f>+N499-N500</f>
        <v>0</v>
      </c>
      <c r="P500" s="245"/>
      <c r="Q500" s="243">
        <f>+P499-P500</f>
        <v>0</v>
      </c>
      <c r="R500" s="245"/>
      <c r="S500" s="243">
        <f>+R499-R500</f>
        <v>0</v>
      </c>
      <c r="T500" s="245"/>
      <c r="U500" s="243">
        <f>+T499-T500</f>
        <v>0</v>
      </c>
      <c r="V500" s="344"/>
      <c r="W500" s="243">
        <f>+V499-V500</f>
        <v>0</v>
      </c>
      <c r="X500" s="245"/>
      <c r="Y500" s="243">
        <f>+X499-X500</f>
        <v>0</v>
      </c>
      <c r="Z500" s="245"/>
      <c r="AA500" s="243">
        <f>+Z499-Z500</f>
        <v>0</v>
      </c>
      <c r="AB500" s="245"/>
      <c r="AC500" s="243">
        <f>+AB499-AB500</f>
        <v>0</v>
      </c>
      <c r="AD500" s="245"/>
      <c r="AE500" s="243">
        <f>+AD499-AD500</f>
        <v>0</v>
      </c>
      <c r="AF500" s="245"/>
      <c r="AG500" s="243">
        <f>+AF499-AF500</f>
        <v>0</v>
      </c>
      <c r="AH500" s="245"/>
      <c r="AI500" s="243">
        <f>+AH499-AH500</f>
        <v>0</v>
      </c>
    </row>
    <row r="501" spans="2:35">
      <c r="B501" s="434" t="s">
        <v>242</v>
      </c>
      <c r="C501" s="435"/>
      <c r="D501" s="237"/>
      <c r="E501" s="243"/>
      <c r="F501" s="237"/>
      <c r="G501" s="243"/>
      <c r="H501" s="237"/>
      <c r="I501" s="243"/>
      <c r="J501" s="237"/>
      <c r="K501" s="243"/>
      <c r="L501" s="237"/>
      <c r="M501" s="243"/>
      <c r="N501" s="237"/>
      <c r="O501" s="243"/>
      <c r="P501" s="237"/>
      <c r="Q501" s="243"/>
      <c r="R501" s="237"/>
      <c r="S501" s="243"/>
      <c r="T501" s="237"/>
      <c r="U501" s="243"/>
      <c r="V501" s="348"/>
      <c r="W501" s="243"/>
      <c r="X501" s="237"/>
      <c r="Y501" s="243"/>
      <c r="Z501" s="237"/>
      <c r="AA501" s="243"/>
      <c r="AB501" s="237"/>
      <c r="AC501" s="243"/>
      <c r="AD501" s="237"/>
      <c r="AE501" s="243"/>
      <c r="AF501" s="237"/>
      <c r="AG501" s="243"/>
      <c r="AH501" s="237"/>
      <c r="AI501" s="243"/>
    </row>
    <row r="502" spans="2:35">
      <c r="B502" s="377" t="s">
        <v>215</v>
      </c>
      <c r="C502" s="438"/>
      <c r="D502" s="237">
        <f>F502+H502+J502+L502+N502+P502+R502+T502+V502+X502+Z502+AB502+AD502+AF502+AH502</f>
        <v>0</v>
      </c>
      <c r="E502" s="243"/>
      <c r="F502" s="237"/>
      <c r="G502" s="243"/>
      <c r="H502" s="237"/>
      <c r="I502" s="243"/>
      <c r="J502" s="237"/>
      <c r="K502" s="243"/>
      <c r="L502" s="237"/>
      <c r="M502" s="243"/>
      <c r="N502" s="237"/>
      <c r="O502" s="243"/>
      <c r="P502" s="237"/>
      <c r="Q502" s="243"/>
      <c r="R502" s="237"/>
      <c r="S502" s="243"/>
      <c r="T502" s="237"/>
      <c r="U502" s="243"/>
      <c r="V502" s="348"/>
      <c r="W502" s="243"/>
      <c r="X502" s="237"/>
      <c r="Y502" s="243"/>
      <c r="Z502" s="237"/>
      <c r="AA502" s="243"/>
      <c r="AB502" s="237"/>
      <c r="AC502" s="243"/>
      <c r="AD502" s="237"/>
      <c r="AE502" s="243"/>
      <c r="AF502" s="237"/>
      <c r="AG502" s="243"/>
      <c r="AH502" s="237"/>
      <c r="AI502" s="243"/>
    </row>
    <row r="503" spans="2:35" ht="12" thickBot="1">
      <c r="B503" s="364" t="s">
        <v>243</v>
      </c>
      <c r="C503" s="438"/>
      <c r="D503" s="245">
        <f>F503+H503+J503+L503+N503+P503+R503+T503+V503+X503+Z503+AB503+AD503+AF503+AH503</f>
        <v>0</v>
      </c>
      <c r="E503" s="243"/>
      <c r="F503" s="245"/>
      <c r="G503" s="243"/>
      <c r="H503" s="245"/>
      <c r="I503" s="243"/>
      <c r="J503" s="245"/>
      <c r="K503" s="243"/>
      <c r="L503" s="245"/>
      <c r="M503" s="243"/>
      <c r="N503" s="245"/>
      <c r="O503" s="243"/>
      <c r="P503" s="245"/>
      <c r="Q503" s="243"/>
      <c r="R503" s="245"/>
      <c r="S503" s="243"/>
      <c r="T503" s="245"/>
      <c r="U503" s="243"/>
      <c r="V503" s="344"/>
      <c r="W503" s="243"/>
      <c r="X503" s="245"/>
      <c r="Y503" s="243"/>
      <c r="Z503" s="245"/>
      <c r="AA503" s="243"/>
      <c r="AB503" s="245"/>
      <c r="AC503" s="243"/>
      <c r="AD503" s="245"/>
      <c r="AE503" s="243"/>
      <c r="AF503" s="245"/>
      <c r="AG503" s="243"/>
      <c r="AH503" s="245"/>
      <c r="AI503" s="243"/>
    </row>
    <row r="504" spans="2:35" ht="13.5" customHeight="1">
      <c r="B504" s="364" t="s">
        <v>244</v>
      </c>
      <c r="C504" s="438"/>
      <c r="D504" s="237"/>
      <c r="E504" s="243">
        <f>+D502-D503</f>
        <v>0</v>
      </c>
      <c r="F504" s="237"/>
      <c r="G504" s="243">
        <f>+F502-F503</f>
        <v>0</v>
      </c>
      <c r="H504" s="237"/>
      <c r="I504" s="243">
        <f>+H502-H503</f>
        <v>0</v>
      </c>
      <c r="J504" s="237"/>
      <c r="K504" s="243">
        <f>+J502-J503</f>
        <v>0</v>
      </c>
      <c r="L504" s="237"/>
      <c r="M504" s="243">
        <f>+L502-L503</f>
        <v>0</v>
      </c>
      <c r="N504" s="237"/>
      <c r="O504" s="243">
        <f>+N502-N503</f>
        <v>0</v>
      </c>
      <c r="P504" s="237"/>
      <c r="Q504" s="243">
        <f>+P502-P503</f>
        <v>0</v>
      </c>
      <c r="R504" s="237"/>
      <c r="S504" s="243">
        <f>+R502-R503</f>
        <v>0</v>
      </c>
      <c r="T504" s="237"/>
      <c r="U504" s="243">
        <f>+T502-T503</f>
        <v>0</v>
      </c>
      <c r="V504" s="348"/>
      <c r="W504" s="243">
        <f>+V502-V503</f>
        <v>0</v>
      </c>
      <c r="X504" s="237"/>
      <c r="Y504" s="243">
        <f>+X502-X503</f>
        <v>0</v>
      </c>
      <c r="Z504" s="237"/>
      <c r="AA504" s="243">
        <f>+Z502-Z503</f>
        <v>0</v>
      </c>
      <c r="AB504" s="237"/>
      <c r="AC504" s="243">
        <f>+AB502-AB503</f>
        <v>0</v>
      </c>
      <c r="AD504" s="237"/>
      <c r="AE504" s="243">
        <f>+AD502-AD503</f>
        <v>0</v>
      </c>
      <c r="AF504" s="237"/>
      <c r="AG504" s="243">
        <f>+AF502-AF503</f>
        <v>0</v>
      </c>
      <c r="AH504" s="237"/>
      <c r="AI504" s="243">
        <f>+AH502-AH503</f>
        <v>0</v>
      </c>
    </row>
    <row r="505" spans="2:35">
      <c r="B505" s="377" t="s">
        <v>216</v>
      </c>
      <c r="C505" s="438"/>
      <c r="D505" s="237"/>
      <c r="E505" s="243"/>
      <c r="F505" s="237"/>
      <c r="G505" s="243"/>
      <c r="H505" s="237"/>
      <c r="I505" s="243"/>
      <c r="J505" s="237"/>
      <c r="K505" s="243"/>
      <c r="L505" s="237"/>
      <c r="M505" s="243"/>
      <c r="N505" s="237"/>
      <c r="O505" s="243"/>
      <c r="P505" s="237"/>
      <c r="Q505" s="243"/>
      <c r="R505" s="237"/>
      <c r="S505" s="243"/>
      <c r="T505" s="237"/>
      <c r="U505" s="243"/>
      <c r="V505" s="348"/>
      <c r="W505" s="243"/>
      <c r="X505" s="237"/>
      <c r="Y505" s="243"/>
      <c r="Z505" s="237"/>
      <c r="AA505" s="243"/>
      <c r="AB505" s="237"/>
      <c r="AC505" s="243"/>
      <c r="AD505" s="237"/>
      <c r="AE505" s="243"/>
      <c r="AF505" s="237"/>
      <c r="AG505" s="243"/>
      <c r="AH505" s="237"/>
      <c r="AI505" s="243"/>
    </row>
    <row r="506" spans="2:35">
      <c r="B506" s="364" t="s">
        <v>244</v>
      </c>
      <c r="C506" s="438"/>
      <c r="D506" s="237">
        <f>F506+H506+J506+L506+N506+P506+R506+T506+V506+X506+Z506+AB506+AD506+AF506+AH506</f>
        <v>79363932</v>
      </c>
      <c r="E506" s="243"/>
      <c r="F506" s="237">
        <v>26387318</v>
      </c>
      <c r="G506" s="243"/>
      <c r="H506" s="237">
        <v>1896843</v>
      </c>
      <c r="I506" s="243"/>
      <c r="J506" s="237">
        <f>300318+472806</f>
        <v>773124</v>
      </c>
      <c r="K506" s="243"/>
      <c r="L506" s="237">
        <v>1514701</v>
      </c>
      <c r="M506" s="243"/>
      <c r="N506" s="237"/>
      <c r="O506" s="243"/>
      <c r="P506" s="237">
        <v>23196557</v>
      </c>
      <c r="Q506" s="243"/>
      <c r="R506" s="237">
        <v>14628273</v>
      </c>
      <c r="S506" s="243"/>
      <c r="T506" s="237">
        <v>2015973</v>
      </c>
      <c r="U506" s="243"/>
      <c r="V506" s="348">
        <v>2480149</v>
      </c>
      <c r="W506" s="243"/>
      <c r="X506" s="237">
        <v>210947</v>
      </c>
      <c r="Y506" s="243"/>
      <c r="Z506" s="237">
        <v>1909924</v>
      </c>
      <c r="AA506" s="243"/>
      <c r="AB506" s="237"/>
      <c r="AC506" s="243"/>
      <c r="AD506" s="237">
        <v>4008327</v>
      </c>
      <c r="AE506" s="243"/>
      <c r="AF506" s="237">
        <v>72860</v>
      </c>
      <c r="AG506" s="243"/>
      <c r="AH506" s="237">
        <v>268936</v>
      </c>
      <c r="AI506" s="243"/>
    </row>
    <row r="507" spans="2:35">
      <c r="B507" s="439" t="s">
        <v>245</v>
      </c>
      <c r="C507" s="438"/>
      <c r="D507" s="237">
        <f>F507+H507+J507+L507+N507+P507+R507+T507+V507+X507+Z507+AB507+AD507+AF507+AH507</f>
        <v>12184301094</v>
      </c>
      <c r="E507" s="243"/>
      <c r="F507" s="237">
        <v>259995641</v>
      </c>
      <c r="G507" s="243"/>
      <c r="H507" s="237">
        <v>32111932</v>
      </c>
      <c r="I507" s="243"/>
      <c r="J507" s="237">
        <v>118858593</v>
      </c>
      <c r="K507" s="243"/>
      <c r="L507" s="237">
        <v>3768552761</v>
      </c>
      <c r="M507" s="243"/>
      <c r="N507" s="237"/>
      <c r="O507" s="243"/>
      <c r="P507" s="237">
        <v>403704612</v>
      </c>
      <c r="Q507" s="243"/>
      <c r="R507" s="237"/>
      <c r="S507" s="243"/>
      <c r="T507" s="237">
        <v>7346798862</v>
      </c>
      <c r="U507" s="243"/>
      <c r="V507" s="348">
        <v>34349532</v>
      </c>
      <c r="W507" s="243"/>
      <c r="X507" s="237">
        <f>6545399-2</f>
        <v>6545397</v>
      </c>
      <c r="Y507" s="243"/>
      <c r="Z507" s="237">
        <v>116462106</v>
      </c>
      <c r="AA507" s="243"/>
      <c r="AB507" s="237"/>
      <c r="AC507" s="243"/>
      <c r="AD507" s="237">
        <v>70115871</v>
      </c>
      <c r="AE507" s="243"/>
      <c r="AF507" s="237">
        <v>20086452</v>
      </c>
      <c r="AG507" s="243"/>
      <c r="AH507" s="237">
        <v>6719335</v>
      </c>
      <c r="AI507" s="243"/>
    </row>
    <row r="508" spans="2:35" ht="12" thickBot="1">
      <c r="B508" s="439" t="s">
        <v>246</v>
      </c>
      <c r="C508" s="438"/>
      <c r="D508" s="245">
        <f>F508+H508+J508+L508+N508+P508+R508+T508+V508+X508+Z508+AB508+AD508+AF508+AH508</f>
        <v>50032039</v>
      </c>
      <c r="E508" s="243"/>
      <c r="F508" s="245">
        <v>759491</v>
      </c>
      <c r="G508" s="243"/>
      <c r="H508" s="245">
        <v>139431</v>
      </c>
      <c r="I508" s="243"/>
      <c r="J508" s="245"/>
      <c r="K508" s="243"/>
      <c r="L508" s="245"/>
      <c r="M508" s="243"/>
      <c r="N508" s="245"/>
      <c r="O508" s="243"/>
      <c r="P508" s="245"/>
      <c r="Q508" s="243"/>
      <c r="R508" s="245"/>
      <c r="S508" s="243"/>
      <c r="T508" s="245">
        <v>1541923</v>
      </c>
      <c r="U508" s="243"/>
      <c r="V508" s="344"/>
      <c r="W508" s="243"/>
      <c r="X508" s="245">
        <v>381351</v>
      </c>
      <c r="Y508" s="243"/>
      <c r="Z508" s="245"/>
      <c r="AA508" s="243"/>
      <c r="AB508" s="245"/>
      <c r="AC508" s="243"/>
      <c r="AD508" s="245">
        <v>47027745</v>
      </c>
      <c r="AE508" s="243"/>
      <c r="AF508" s="245"/>
      <c r="AG508" s="243"/>
      <c r="AH508" s="245">
        <v>182098</v>
      </c>
      <c r="AI508" s="243"/>
    </row>
    <row r="509" spans="2:35">
      <c r="B509" s="440"/>
      <c r="C509" s="438"/>
      <c r="D509" s="237">
        <f>+SUM(D506:D508)</f>
        <v>12313697065</v>
      </c>
      <c r="E509" s="243"/>
      <c r="F509" s="237">
        <f>+SUM(F506:F508)</f>
        <v>287142450</v>
      </c>
      <c r="G509" s="243"/>
      <c r="H509" s="237">
        <f>+SUM(H506:H508)</f>
        <v>34148206</v>
      </c>
      <c r="I509" s="243"/>
      <c r="J509" s="237">
        <f>+SUM(J506:J508)</f>
        <v>119631717</v>
      </c>
      <c r="K509" s="243"/>
      <c r="L509" s="237">
        <f>+SUM(L506:L508)</f>
        <v>3770067462</v>
      </c>
      <c r="M509" s="243"/>
      <c r="N509" s="237">
        <f>+SUM(N506:N508)</f>
        <v>0</v>
      </c>
      <c r="O509" s="243"/>
      <c r="P509" s="237">
        <f>+SUM(P506:P508)</f>
        <v>426901169</v>
      </c>
      <c r="Q509" s="243"/>
      <c r="R509" s="237">
        <f>+SUM(R506:R508)</f>
        <v>14628273</v>
      </c>
      <c r="S509" s="243"/>
      <c r="T509" s="237">
        <f>+SUM(T506:T508)</f>
        <v>7350356758</v>
      </c>
      <c r="U509" s="243"/>
      <c r="V509" s="237">
        <f>+SUM(V506:V508)</f>
        <v>36829681</v>
      </c>
      <c r="W509" s="243"/>
      <c r="X509" s="237">
        <f>+SUM(X506:X508)</f>
        <v>7137695</v>
      </c>
      <c r="Y509" s="243"/>
      <c r="Z509" s="237">
        <f>+SUM(Z506:Z508)</f>
        <v>118372030</v>
      </c>
      <c r="AA509" s="243"/>
      <c r="AB509" s="237">
        <f>+SUM(AB506:AB508)</f>
        <v>0</v>
      </c>
      <c r="AC509" s="243"/>
      <c r="AD509" s="237">
        <f>+SUM(AD506:AD508)</f>
        <v>121151943</v>
      </c>
      <c r="AE509" s="243"/>
      <c r="AF509" s="237">
        <f>+SUM(AF506:AF508)</f>
        <v>20159312</v>
      </c>
      <c r="AG509" s="243"/>
      <c r="AH509" s="237">
        <f>+SUM(AH506:AH508)</f>
        <v>7170369</v>
      </c>
      <c r="AI509" s="243"/>
    </row>
    <row r="510" spans="2:35" ht="21.75" thickBot="1">
      <c r="B510" s="364" t="s">
        <v>210</v>
      </c>
      <c r="C510" s="437"/>
      <c r="D510" s="245">
        <f>F510+H510+J510+L510+N510+P510+R510+T510+V510+X510+Z510+AB510+AD510+AF510+AH510</f>
        <v>50032039</v>
      </c>
      <c r="E510" s="243">
        <f>+D509-D510</f>
        <v>12263665026</v>
      </c>
      <c r="F510" s="245">
        <f>F508</f>
        <v>759491</v>
      </c>
      <c r="G510" s="243">
        <f>+F509-F510</f>
        <v>286382959</v>
      </c>
      <c r="H510" s="245">
        <f>H508</f>
        <v>139431</v>
      </c>
      <c r="I510" s="243">
        <f>+H509-H510</f>
        <v>34008775</v>
      </c>
      <c r="J510" s="245">
        <f>J508</f>
        <v>0</v>
      </c>
      <c r="K510" s="243">
        <f>+J509-J510</f>
        <v>119631717</v>
      </c>
      <c r="L510" s="245"/>
      <c r="M510" s="243">
        <f>+L509-L510</f>
        <v>3770067462</v>
      </c>
      <c r="N510" s="245">
        <f>N508</f>
        <v>0</v>
      </c>
      <c r="O510" s="243">
        <f>+N509-N510</f>
        <v>0</v>
      </c>
      <c r="P510" s="245"/>
      <c r="Q510" s="243">
        <f>+P509-P510</f>
        <v>426901169</v>
      </c>
      <c r="R510" s="245"/>
      <c r="S510" s="243">
        <f>+R509-R510</f>
        <v>14628273</v>
      </c>
      <c r="T510" s="245">
        <f>T508</f>
        <v>1541923</v>
      </c>
      <c r="U510" s="243">
        <f>+T509-T510</f>
        <v>7348814835</v>
      </c>
      <c r="V510" s="344">
        <f>V508</f>
        <v>0</v>
      </c>
      <c r="W510" s="243">
        <f>+V509-V510</f>
        <v>36829681</v>
      </c>
      <c r="X510" s="245">
        <f>X508</f>
        <v>381351</v>
      </c>
      <c r="Y510" s="243">
        <f>+X509-X510</f>
        <v>6756344</v>
      </c>
      <c r="Z510" s="245">
        <f>Z508</f>
        <v>0</v>
      </c>
      <c r="AA510" s="243">
        <f>+Z509-Z510</f>
        <v>118372030</v>
      </c>
      <c r="AB510" s="245">
        <f>AB508</f>
        <v>0</v>
      </c>
      <c r="AC510" s="243">
        <f>+AB509-AB510</f>
        <v>0</v>
      </c>
      <c r="AD510" s="245">
        <f>AD508</f>
        <v>47027745</v>
      </c>
      <c r="AE510" s="243">
        <f>+AD509-AD510</f>
        <v>74124198</v>
      </c>
      <c r="AF510" s="245">
        <f>AF508</f>
        <v>0</v>
      </c>
      <c r="AG510" s="243">
        <f>+AF509-AF510</f>
        <v>20159312</v>
      </c>
      <c r="AH510" s="245">
        <f>AH508</f>
        <v>182098</v>
      </c>
      <c r="AI510" s="243">
        <f>+AH509-AH510</f>
        <v>6988271</v>
      </c>
    </row>
    <row r="511" spans="2:35">
      <c r="B511" s="364"/>
      <c r="C511" s="438"/>
      <c r="D511" s="237"/>
      <c r="E511" s="243"/>
      <c r="F511" s="237"/>
      <c r="G511" s="243"/>
      <c r="H511" s="237"/>
      <c r="I511" s="243"/>
      <c r="J511" s="237"/>
      <c r="K511" s="243"/>
      <c r="L511" s="237"/>
      <c r="M511" s="243"/>
      <c r="N511" s="237"/>
      <c r="O511" s="243"/>
      <c r="P511" s="237"/>
      <c r="Q511" s="243"/>
      <c r="R511" s="237"/>
      <c r="S511" s="243"/>
      <c r="T511" s="237"/>
      <c r="U511" s="243"/>
      <c r="V511" s="348"/>
      <c r="W511" s="243"/>
      <c r="X511" s="237"/>
      <c r="Y511" s="243"/>
      <c r="Z511" s="237"/>
      <c r="AA511" s="243"/>
      <c r="AB511" s="237"/>
      <c r="AC511" s="243"/>
      <c r="AD511" s="237"/>
      <c r="AE511" s="243"/>
      <c r="AF511" s="237"/>
      <c r="AG511" s="243"/>
      <c r="AH511" s="237"/>
      <c r="AI511" s="243"/>
    </row>
    <row r="512" spans="2:35">
      <c r="B512" s="377" t="s">
        <v>217</v>
      </c>
      <c r="C512" s="438"/>
      <c r="D512" s="237"/>
      <c r="E512" s="243"/>
      <c r="F512" s="237"/>
      <c r="G512" s="243"/>
      <c r="H512" s="237"/>
      <c r="I512" s="243"/>
      <c r="J512" s="237"/>
      <c r="K512" s="243"/>
      <c r="L512" s="237"/>
      <c r="M512" s="243"/>
      <c r="N512" s="237"/>
      <c r="O512" s="243"/>
      <c r="P512" s="237"/>
      <c r="Q512" s="243"/>
      <c r="R512" s="237"/>
      <c r="S512" s="243"/>
      <c r="T512" s="237"/>
      <c r="U512" s="243"/>
      <c r="V512" s="348"/>
      <c r="W512" s="243"/>
      <c r="X512" s="237"/>
      <c r="Y512" s="243"/>
      <c r="Z512" s="237"/>
      <c r="AA512" s="243"/>
      <c r="AB512" s="237"/>
      <c r="AC512" s="243"/>
      <c r="AD512" s="237"/>
      <c r="AE512" s="243"/>
      <c r="AF512" s="237"/>
      <c r="AG512" s="243"/>
      <c r="AH512" s="237"/>
      <c r="AI512" s="243"/>
    </row>
    <row r="513" spans="2:35">
      <c r="B513" s="439" t="s">
        <v>213</v>
      </c>
      <c r="C513" s="438"/>
      <c r="D513" s="237">
        <f>F513+H513+J513+L513+N513+P513+R513+T513+V513+X513+Z513+AB513+AD513+AF513+AH513</f>
        <v>4720</v>
      </c>
      <c r="E513" s="243"/>
      <c r="F513" s="237"/>
      <c r="G513" s="243"/>
      <c r="H513" s="237">
        <v>4720</v>
      </c>
      <c r="I513" s="243"/>
      <c r="J513" s="237"/>
      <c r="K513" s="243"/>
      <c r="L513" s="237"/>
      <c r="M513" s="243"/>
      <c r="N513" s="237"/>
      <c r="O513" s="243"/>
      <c r="P513" s="237"/>
      <c r="Q513" s="243"/>
      <c r="R513" s="237"/>
      <c r="S513" s="243"/>
      <c r="T513" s="237"/>
      <c r="U513" s="243"/>
      <c r="V513" s="348"/>
      <c r="W513" s="243"/>
      <c r="X513" s="237"/>
      <c r="Y513" s="243"/>
      <c r="Z513" s="237"/>
      <c r="AA513" s="243"/>
      <c r="AB513" s="237"/>
      <c r="AC513" s="243"/>
      <c r="AD513" s="237"/>
      <c r="AE513" s="243"/>
      <c r="AF513" s="237"/>
      <c r="AG513" s="243"/>
      <c r="AH513" s="237"/>
      <c r="AI513" s="243"/>
    </row>
    <row r="514" spans="2:35">
      <c r="B514" s="439" t="s">
        <v>212</v>
      </c>
      <c r="C514" s="438"/>
      <c r="D514" s="237">
        <f>F514+H514+J514+L514+N514+P514+R514+T514+V514+X514+Z514+AB514+AD514+AF514+AH514</f>
        <v>41791735</v>
      </c>
      <c r="E514" s="243"/>
      <c r="F514" s="237">
        <v>2198637</v>
      </c>
      <c r="G514" s="243"/>
      <c r="H514" s="237"/>
      <c r="I514" s="243"/>
      <c r="J514" s="237">
        <v>920730</v>
      </c>
      <c r="K514" s="243"/>
      <c r="L514" s="237">
        <v>37518724</v>
      </c>
      <c r="M514" s="243"/>
      <c r="N514" s="237"/>
      <c r="O514" s="243"/>
      <c r="P514" s="237"/>
      <c r="Q514" s="243"/>
      <c r="R514" s="237"/>
      <c r="S514" s="243"/>
      <c r="T514" s="237"/>
      <c r="U514" s="243"/>
      <c r="V514" s="348"/>
      <c r="W514" s="243"/>
      <c r="X514" s="237"/>
      <c r="Y514" s="243"/>
      <c r="Z514" s="237">
        <v>1153644</v>
      </c>
      <c r="AA514" s="243"/>
      <c r="AB514" s="237"/>
      <c r="AC514" s="243"/>
      <c r="AD514" s="237"/>
      <c r="AE514" s="243"/>
      <c r="AF514" s="237"/>
      <c r="AG514" s="243"/>
      <c r="AH514" s="237"/>
      <c r="AI514" s="243"/>
    </row>
    <row r="515" spans="2:35" ht="12" thickBot="1">
      <c r="B515" s="439" t="s">
        <v>214</v>
      </c>
      <c r="C515" s="438"/>
      <c r="D515" s="245">
        <f>F515+H515+J515+L515+N515+P515+R515+T515+V515+X515+Z515+AB515+AD515+AF515+AH515</f>
        <v>4770207</v>
      </c>
      <c r="E515" s="243"/>
      <c r="F515" s="245"/>
      <c r="G515" s="243"/>
      <c r="H515" s="245"/>
      <c r="I515" s="243"/>
      <c r="J515" s="245"/>
      <c r="K515" s="243"/>
      <c r="L515" s="245"/>
      <c r="M515" s="243"/>
      <c r="N515" s="245"/>
      <c r="O515" s="243"/>
      <c r="P515" s="245"/>
      <c r="Q515" s="243"/>
      <c r="R515" s="245"/>
      <c r="S515" s="243"/>
      <c r="T515" s="245">
        <v>1579687</v>
      </c>
      <c r="U515" s="243"/>
      <c r="V515" s="344"/>
      <c r="W515" s="243"/>
      <c r="X515" s="245"/>
      <c r="Y515" s="243"/>
      <c r="Z515" s="245"/>
      <c r="AA515" s="243"/>
      <c r="AB515" s="245"/>
      <c r="AC515" s="243"/>
      <c r="AD515" s="245">
        <v>3190520</v>
      </c>
      <c r="AE515" s="243"/>
      <c r="AF515" s="245"/>
      <c r="AG515" s="243"/>
      <c r="AH515" s="245"/>
      <c r="AI515" s="243"/>
    </row>
    <row r="516" spans="2:35">
      <c r="B516" s="440"/>
      <c r="C516" s="438"/>
      <c r="D516" s="237">
        <f>+SUM(D513:D515)</f>
        <v>46566662</v>
      </c>
      <c r="E516" s="243"/>
      <c r="F516" s="237">
        <f>+SUM(F513:F515)</f>
        <v>2198637</v>
      </c>
      <c r="G516" s="243"/>
      <c r="H516" s="237">
        <f>+SUM(H513:H515)</f>
        <v>4720</v>
      </c>
      <c r="I516" s="243"/>
      <c r="J516" s="237">
        <f>+SUM(J513:J515)</f>
        <v>920730</v>
      </c>
      <c r="K516" s="243"/>
      <c r="L516" s="237">
        <f>+SUM(L513:L515)</f>
        <v>37518724</v>
      </c>
      <c r="M516" s="243"/>
      <c r="N516" s="237">
        <f>+SUM(N513:N515)</f>
        <v>0</v>
      </c>
      <c r="O516" s="243"/>
      <c r="P516" s="237">
        <f>+SUM(P513:P515)</f>
        <v>0</v>
      </c>
      <c r="Q516" s="243"/>
      <c r="R516" s="237">
        <f>+SUM(R513:R515)</f>
        <v>0</v>
      </c>
      <c r="S516" s="243"/>
      <c r="T516" s="237">
        <f>+SUM(T513:T515)</f>
        <v>1579687</v>
      </c>
      <c r="U516" s="243"/>
      <c r="V516" s="237">
        <f>+SUM(V513:V515)</f>
        <v>0</v>
      </c>
      <c r="W516" s="243"/>
      <c r="X516" s="237">
        <f>+SUM(X513:X515)</f>
        <v>0</v>
      </c>
      <c r="Y516" s="243"/>
      <c r="Z516" s="237">
        <f>+SUM(Z513:Z515)</f>
        <v>1153644</v>
      </c>
      <c r="AA516" s="243"/>
      <c r="AB516" s="237">
        <f>+SUM(AB513:AB515)</f>
        <v>0</v>
      </c>
      <c r="AC516" s="243"/>
      <c r="AD516" s="237">
        <f>+SUM(AD513:AD515)</f>
        <v>3190520</v>
      </c>
      <c r="AE516" s="243"/>
      <c r="AF516" s="237">
        <f>+SUM(AF513:AF515)</f>
        <v>0</v>
      </c>
      <c r="AG516" s="243"/>
      <c r="AH516" s="237">
        <f>+SUM(AH513:AH515)</f>
        <v>0</v>
      </c>
      <c r="AI516" s="243"/>
    </row>
    <row r="517" spans="2:35" ht="21.75" thickBot="1">
      <c r="B517" s="364" t="s">
        <v>210</v>
      </c>
      <c r="C517" s="437"/>
      <c r="D517" s="245">
        <f>F517+H517+J517+L517+N517+P517+R517+T517+V517+X517+Z517+AB517+AD517+AF517+AH517</f>
        <v>4770207</v>
      </c>
      <c r="E517" s="243">
        <f>+D516-D517</f>
        <v>41796455</v>
      </c>
      <c r="F517" s="245">
        <f>F515</f>
        <v>0</v>
      </c>
      <c r="G517" s="243">
        <f>+F516-F517</f>
        <v>2198637</v>
      </c>
      <c r="H517" s="245"/>
      <c r="I517" s="243">
        <f>+H516-H517</f>
        <v>4720</v>
      </c>
      <c r="J517" s="245">
        <f>J515</f>
        <v>0</v>
      </c>
      <c r="K517" s="243">
        <f>+J516-J517</f>
        <v>920730</v>
      </c>
      <c r="L517" s="245"/>
      <c r="M517" s="243">
        <f>+L516-L517</f>
        <v>37518724</v>
      </c>
      <c r="N517" s="245">
        <f>N515</f>
        <v>0</v>
      </c>
      <c r="O517" s="243">
        <f>+N516-N517</f>
        <v>0</v>
      </c>
      <c r="P517" s="245"/>
      <c r="Q517" s="243">
        <f>+P516-P517</f>
        <v>0</v>
      </c>
      <c r="R517" s="245"/>
      <c r="S517" s="243">
        <f>+R516-R517</f>
        <v>0</v>
      </c>
      <c r="T517" s="245">
        <f>T515</f>
        <v>1579687</v>
      </c>
      <c r="U517" s="243">
        <f>+T516-T517</f>
        <v>0</v>
      </c>
      <c r="V517" s="344"/>
      <c r="W517" s="243">
        <f>+V516-V517</f>
        <v>0</v>
      </c>
      <c r="X517" s="245"/>
      <c r="Y517" s="243">
        <f>+X516-X517</f>
        <v>0</v>
      </c>
      <c r="Z517" s="245">
        <f>Z515</f>
        <v>0</v>
      </c>
      <c r="AA517" s="243">
        <f>+Z516-Z517</f>
        <v>1153644</v>
      </c>
      <c r="AB517" s="245"/>
      <c r="AC517" s="243">
        <f>+AB516-AB517</f>
        <v>0</v>
      </c>
      <c r="AD517" s="245">
        <f>AD515</f>
        <v>3190520</v>
      </c>
      <c r="AE517" s="243">
        <f>+AD516-AD517</f>
        <v>0</v>
      </c>
      <c r="AF517" s="245">
        <f>AF515</f>
        <v>0</v>
      </c>
      <c r="AG517" s="243">
        <f>+AF516-AF517</f>
        <v>0</v>
      </c>
      <c r="AH517" s="245"/>
      <c r="AI517" s="243">
        <f>+AH516-AH517</f>
        <v>0</v>
      </c>
    </row>
    <row r="518" spans="2:35" ht="21.75">
      <c r="B518" s="169" t="s">
        <v>1223</v>
      </c>
      <c r="C518" s="441"/>
      <c r="D518" s="237"/>
      <c r="E518" s="243"/>
      <c r="F518" s="237"/>
      <c r="G518" s="243"/>
      <c r="H518" s="237"/>
      <c r="I518" s="243"/>
      <c r="J518" s="237"/>
      <c r="K518" s="243"/>
      <c r="L518" s="237"/>
      <c r="M518" s="243"/>
      <c r="N518" s="237"/>
      <c r="O518" s="243"/>
      <c r="P518" s="237"/>
      <c r="Q518" s="243"/>
      <c r="R518" s="237"/>
      <c r="S518" s="243"/>
      <c r="T518" s="490"/>
      <c r="U518" s="493"/>
      <c r="V518" s="348"/>
      <c r="W518" s="243"/>
      <c r="X518" s="237"/>
      <c r="Y518" s="243"/>
      <c r="Z518" s="237"/>
      <c r="AA518" s="243"/>
      <c r="AB518" s="237"/>
      <c r="AC518" s="243"/>
      <c r="AD518" s="237"/>
      <c r="AE518" s="243"/>
      <c r="AF518" s="237"/>
      <c r="AG518" s="243"/>
      <c r="AH518" s="237"/>
      <c r="AI518" s="243"/>
    </row>
    <row r="519" spans="2:35">
      <c r="B519" s="439" t="s">
        <v>212</v>
      </c>
      <c r="C519" s="438"/>
      <c r="D519" s="237"/>
      <c r="E519" s="243">
        <f>G519+I519+K519+M519+O519+Q519+S519+U519+W519+Y519+AA519+AC519+AE519+AG519+AI519</f>
        <v>573440612</v>
      </c>
      <c r="F519" s="237"/>
      <c r="G519" s="243">
        <v>571067024</v>
      </c>
      <c r="H519" s="237"/>
      <c r="I519" s="243"/>
      <c r="J519" s="237"/>
      <c r="K519" s="243">
        <v>2373877</v>
      </c>
      <c r="L519" s="237"/>
      <c r="M519" s="243"/>
      <c r="N519" s="237"/>
      <c r="O519" s="243"/>
      <c r="P519" s="237"/>
      <c r="Q519" s="243"/>
      <c r="R519" s="237"/>
      <c r="S519" s="243"/>
      <c r="T519" s="237"/>
      <c r="U519" s="243"/>
      <c r="V519" s="348"/>
      <c r="W519" s="243"/>
      <c r="X519" s="237"/>
      <c r="Y519" s="243"/>
      <c r="Z519" s="237"/>
      <c r="AA519" s="243"/>
      <c r="AB519" s="237"/>
      <c r="AC519" s="243"/>
      <c r="AD519" s="237"/>
      <c r="AE519" s="243">
        <v>-377</v>
      </c>
      <c r="AF519" s="237"/>
      <c r="AG519" s="243">
        <v>88</v>
      </c>
      <c r="AH519" s="237"/>
      <c r="AI519" s="243"/>
    </row>
    <row r="520" spans="2:35">
      <c r="B520" s="345"/>
      <c r="C520" s="435"/>
      <c r="D520" s="237"/>
      <c r="E520" s="243"/>
      <c r="F520" s="237"/>
      <c r="G520" s="243"/>
      <c r="H520" s="237"/>
      <c r="I520" s="243"/>
      <c r="J520" s="237"/>
      <c r="K520" s="243"/>
      <c r="L520" s="237"/>
      <c r="M520" s="243"/>
      <c r="N520" s="237"/>
      <c r="O520" s="243"/>
      <c r="P520" s="237"/>
      <c r="Q520" s="243"/>
      <c r="R520" s="237"/>
      <c r="S520" s="243"/>
      <c r="T520" s="237"/>
      <c r="U520" s="243"/>
      <c r="V520" s="348"/>
      <c r="W520" s="243"/>
      <c r="X520" s="237"/>
      <c r="Y520" s="243"/>
      <c r="Z520" s="237"/>
      <c r="AA520" s="243"/>
      <c r="AB520" s="237"/>
      <c r="AC520" s="243"/>
      <c r="AD520" s="237"/>
      <c r="AE520" s="243"/>
      <c r="AF520" s="237"/>
      <c r="AG520" s="243"/>
      <c r="AH520" s="237"/>
      <c r="AI520" s="243"/>
    </row>
    <row r="521" spans="2:35" ht="12" thickBot="1">
      <c r="B521" s="665" t="s">
        <v>806</v>
      </c>
      <c r="C521" s="442"/>
      <c r="D521" s="245"/>
      <c r="E521" s="252">
        <f>SUM(E495:E520)</f>
        <v>12878902093</v>
      </c>
      <c r="F521" s="245"/>
      <c r="G521" s="252">
        <f>SUM(G495:G520)</f>
        <v>859648620</v>
      </c>
      <c r="H521" s="245"/>
      <c r="I521" s="252">
        <f>SUM(I495:I520)</f>
        <v>34013495</v>
      </c>
      <c r="J521" s="245"/>
      <c r="K521" s="252">
        <f>SUM(K495:K520)</f>
        <v>122926324</v>
      </c>
      <c r="L521" s="245"/>
      <c r="M521" s="252">
        <f>SUM(M495:M520)</f>
        <v>3807586186</v>
      </c>
      <c r="N521" s="245"/>
      <c r="O521" s="252">
        <f>SUM(O495:O520)</f>
        <v>0</v>
      </c>
      <c r="P521" s="245"/>
      <c r="Q521" s="252">
        <f>SUM(Q495:Q520)</f>
        <v>426901169</v>
      </c>
      <c r="R521" s="245"/>
      <c r="S521" s="252">
        <f>SUM(S495:S520)</f>
        <v>14628273</v>
      </c>
      <c r="T521" s="245"/>
      <c r="U521" s="252">
        <f>SUM(U495:U520)</f>
        <v>7348814835</v>
      </c>
      <c r="V521" s="344"/>
      <c r="W521" s="252">
        <f>SUM(W495:W520)</f>
        <v>36829681</v>
      </c>
      <c r="X521" s="245"/>
      <c r="Y521" s="252">
        <f>SUM(Y495:Y520)</f>
        <v>6756344</v>
      </c>
      <c r="Z521" s="245"/>
      <c r="AA521" s="252">
        <f>SUM(AA495:AA520)</f>
        <v>119525674</v>
      </c>
      <c r="AB521" s="245"/>
      <c r="AC521" s="252">
        <f>SUM(AC495:AC520)</f>
        <v>0</v>
      </c>
      <c r="AD521" s="245"/>
      <c r="AE521" s="252">
        <f>SUM(AE495:AE520)</f>
        <v>74123821</v>
      </c>
      <c r="AF521" s="245"/>
      <c r="AG521" s="252">
        <f>SUM(AG495:AG520)</f>
        <v>20159400</v>
      </c>
      <c r="AH521" s="245"/>
      <c r="AI521" s="252">
        <f>SUM(AI495:AI520)</f>
        <v>6988271</v>
      </c>
    </row>
    <row r="523" spans="2:35" ht="35.25" hidden="1" customHeight="1">
      <c r="B523" s="1480" t="s">
        <v>931</v>
      </c>
      <c r="C523" s="1480"/>
      <c r="D523" s="1480"/>
      <c r="E523" s="1480"/>
      <c r="F523" s="1480"/>
      <c r="G523" s="1480"/>
    </row>
    <row r="525" spans="2:35">
      <c r="B525" s="1469" t="s">
        <v>249</v>
      </c>
      <c r="C525" s="1471"/>
      <c r="D525" s="1471"/>
      <c r="E525" s="1471"/>
      <c r="F525" s="1471"/>
      <c r="G525" s="1471"/>
    </row>
    <row r="527" spans="2:35" ht="12" thickBot="1">
      <c r="G527" s="335" t="s">
        <v>247</v>
      </c>
    </row>
    <row r="528" spans="2:35" ht="12" thickBot="1">
      <c r="B528" s="425"/>
      <c r="C528" s="274"/>
      <c r="D528" s="1463" t="s">
        <v>860</v>
      </c>
      <c r="E528" s="1464"/>
      <c r="F528" s="1463" t="s">
        <v>17</v>
      </c>
      <c r="G528" s="1464"/>
      <c r="H528" s="1463" t="s">
        <v>18</v>
      </c>
      <c r="I528" s="1464"/>
      <c r="J528" s="1463" t="s">
        <v>19</v>
      </c>
      <c r="K528" s="1464"/>
      <c r="L528" s="1463" t="s">
        <v>20</v>
      </c>
      <c r="M528" s="1464"/>
      <c r="N528" s="1463" t="s">
        <v>21</v>
      </c>
      <c r="O528" s="1464"/>
      <c r="P528" s="1463" t="s">
        <v>22</v>
      </c>
      <c r="Q528" s="1464"/>
      <c r="R528" s="1463" t="s">
        <v>23</v>
      </c>
      <c r="S528" s="1464"/>
      <c r="T528" s="1463" t="s">
        <v>24</v>
      </c>
      <c r="U528" s="1464"/>
      <c r="V528" s="1463" t="s">
        <v>25</v>
      </c>
      <c r="W528" s="1464"/>
      <c r="X528" s="1463" t="s">
        <v>26</v>
      </c>
      <c r="Y528" s="1464"/>
      <c r="Z528" s="1463" t="s">
        <v>27</v>
      </c>
      <c r="AA528" s="1464"/>
      <c r="AB528" s="1463"/>
      <c r="AC528" s="1464"/>
      <c r="AD528" s="1463" t="s">
        <v>1266</v>
      </c>
      <c r="AE528" s="1464"/>
      <c r="AF528" s="1463" t="s">
        <v>30</v>
      </c>
      <c r="AG528" s="1464"/>
      <c r="AH528" s="1463" t="s">
        <v>31</v>
      </c>
      <c r="AI528" s="1464"/>
    </row>
    <row r="529" spans="2:35">
      <c r="B529" s="351" t="s">
        <v>250</v>
      </c>
      <c r="C529" s="251"/>
      <c r="D529" s="249">
        <f>F529+H529+J529+L529+N529+P529+R529+T529+V529+X529+Z529+AB529+AD529+AF529+AH529</f>
        <v>33919314</v>
      </c>
      <c r="E529" s="250"/>
      <c r="F529" s="251">
        <v>11998988</v>
      </c>
      <c r="G529" s="250"/>
      <c r="H529" s="251"/>
      <c r="I529" s="250"/>
      <c r="J529" s="251"/>
      <c r="K529" s="250"/>
      <c r="L529" s="251">
        <f>1802612+2</f>
        <v>1802614</v>
      </c>
      <c r="M529" s="250"/>
      <c r="N529" s="251"/>
      <c r="O529" s="250"/>
      <c r="P529" s="251"/>
      <c r="Q529" s="250"/>
      <c r="R529" s="251"/>
      <c r="S529" s="250"/>
      <c r="T529" s="251">
        <v>20117712</v>
      </c>
      <c r="U529" s="250"/>
      <c r="V529" s="427"/>
      <c r="W529" s="250"/>
      <c r="X529" s="251"/>
      <c r="Y529" s="250"/>
      <c r="Z529" s="251"/>
      <c r="AA529" s="250"/>
      <c r="AB529" s="251"/>
      <c r="AC529" s="250"/>
      <c r="AD529" s="251"/>
      <c r="AE529" s="250"/>
      <c r="AF529" s="251"/>
      <c r="AG529" s="250"/>
      <c r="AH529" s="251"/>
      <c r="AI529" s="250"/>
    </row>
    <row r="530" spans="2:35" ht="21.75" thickBot="1">
      <c r="B530" s="114" t="s">
        <v>14</v>
      </c>
      <c r="C530" s="244"/>
      <c r="D530" s="245">
        <f>F530+H530+J530+L530+N530+P530+R530+T530+V530+X530+Z530+AB530+AD530+AF530+AH530</f>
        <v>3150892646</v>
      </c>
      <c r="E530" s="243"/>
      <c r="F530" s="245"/>
      <c r="G530" s="243"/>
      <c r="H530" s="245"/>
      <c r="I530" s="243"/>
      <c r="J530" s="245"/>
      <c r="K530" s="243"/>
      <c r="L530" s="245">
        <v>1537246370</v>
      </c>
      <c r="M530" s="243"/>
      <c r="N530" s="244"/>
      <c r="O530" s="243"/>
      <c r="P530" s="245">
        <v>760882076</v>
      </c>
      <c r="Q530" s="243"/>
      <c r="R530" s="245"/>
      <c r="S530" s="243"/>
      <c r="T530" s="245"/>
      <c r="U530" s="243"/>
      <c r="V530" s="344">
        <v>61709648</v>
      </c>
      <c r="W530" s="243"/>
      <c r="X530" s="245">
        <v>42915916</v>
      </c>
      <c r="Y530" s="243"/>
      <c r="Z530" s="245"/>
      <c r="AA530" s="243"/>
      <c r="AB530" s="245"/>
      <c r="AC530" s="243"/>
      <c r="AD530" s="245">
        <v>748138636</v>
      </c>
      <c r="AE530" s="243"/>
      <c r="AF530" s="245"/>
      <c r="AG530" s="243"/>
      <c r="AH530" s="244"/>
      <c r="AI530" s="243"/>
    </row>
    <row r="531" spans="2:35">
      <c r="B531" s="327"/>
      <c r="C531" s="244"/>
      <c r="D531" s="237">
        <f>+D529+D530</f>
        <v>3184811960</v>
      </c>
      <c r="E531" s="243"/>
      <c r="F531" s="237">
        <f>+F529+F530</f>
        <v>11998988</v>
      </c>
      <c r="G531" s="243"/>
      <c r="H531" s="237">
        <f>+H529+H530</f>
        <v>0</v>
      </c>
      <c r="I531" s="243"/>
      <c r="J531" s="237">
        <f>+J529+J530</f>
        <v>0</v>
      </c>
      <c r="K531" s="243"/>
      <c r="L531" s="237">
        <f>+L529+L530</f>
        <v>1539048984</v>
      </c>
      <c r="M531" s="243"/>
      <c r="N531" s="237">
        <f>+N529+N530</f>
        <v>0</v>
      </c>
      <c r="O531" s="243"/>
      <c r="P531" s="237">
        <f>+P529+P530</f>
        <v>760882076</v>
      </c>
      <c r="Q531" s="243"/>
      <c r="R531" s="237">
        <f>+R529+R530</f>
        <v>0</v>
      </c>
      <c r="S531" s="243"/>
      <c r="T531" s="237">
        <f>+T529+T530</f>
        <v>20117712</v>
      </c>
      <c r="U531" s="243"/>
      <c r="V531" s="348">
        <f>+V529+V530</f>
        <v>61709648</v>
      </c>
      <c r="W531" s="243"/>
      <c r="X531" s="237">
        <f>+X529+X530</f>
        <v>42915916</v>
      </c>
      <c r="Y531" s="243"/>
      <c r="Z531" s="237">
        <f>+Z529+Z530</f>
        <v>0</v>
      </c>
      <c r="AA531" s="243"/>
      <c r="AB531" s="237">
        <f>+AB529+AB530</f>
        <v>0</v>
      </c>
      <c r="AC531" s="243"/>
      <c r="AD531" s="237">
        <f>+AD529+AD530</f>
        <v>748138636</v>
      </c>
      <c r="AE531" s="243"/>
      <c r="AF531" s="237">
        <f>+AF529+AF530</f>
        <v>0</v>
      </c>
      <c r="AG531" s="243"/>
      <c r="AH531" s="237">
        <f>+AH529+AH530</f>
        <v>0</v>
      </c>
      <c r="AI531" s="243"/>
    </row>
    <row r="532" spans="2:35" ht="12" thickBot="1">
      <c r="B532" s="327" t="s">
        <v>251</v>
      </c>
      <c r="C532" s="244"/>
      <c r="D532" s="245">
        <f>F532+H532+J532+L532+N532+P532+R532+T532+V532+X532+Z532+AB532+AD532+AF532+AH532</f>
        <v>0</v>
      </c>
      <c r="E532" s="243">
        <f>+D531-D532</f>
        <v>3184811960</v>
      </c>
      <c r="F532" s="245"/>
      <c r="G532" s="243">
        <f>+F531-F532</f>
        <v>11998988</v>
      </c>
      <c r="H532" s="245"/>
      <c r="I532" s="243">
        <f>+H531-H532</f>
        <v>0</v>
      </c>
      <c r="J532" s="245"/>
      <c r="K532" s="243">
        <f>+J531-J532</f>
        <v>0</v>
      </c>
      <c r="L532" s="245"/>
      <c r="M532" s="243">
        <f>+L531-L532</f>
        <v>1539048984</v>
      </c>
      <c r="N532" s="245"/>
      <c r="O532" s="243">
        <f>+N531-N532</f>
        <v>0</v>
      </c>
      <c r="P532" s="245"/>
      <c r="Q532" s="243">
        <f>+P531-P532</f>
        <v>760882076</v>
      </c>
      <c r="R532" s="245"/>
      <c r="S532" s="243">
        <f>+R531-R532</f>
        <v>0</v>
      </c>
      <c r="T532" s="245"/>
      <c r="U532" s="243">
        <f>+T531-T532</f>
        <v>20117712</v>
      </c>
      <c r="V532" s="344"/>
      <c r="W532" s="243">
        <f>+V531-V532</f>
        <v>61709648</v>
      </c>
      <c r="X532" s="245"/>
      <c r="Y532" s="243">
        <f>+X531-X532</f>
        <v>42915916</v>
      </c>
      <c r="Z532" s="245"/>
      <c r="AA532" s="243">
        <f>+Z531-Z532</f>
        <v>0</v>
      </c>
      <c r="AB532" s="245"/>
      <c r="AC532" s="243">
        <f>+AB531-AB532</f>
        <v>0</v>
      </c>
      <c r="AD532" s="245"/>
      <c r="AE532" s="243">
        <f>+AD531-AD532</f>
        <v>748138636</v>
      </c>
      <c r="AF532" s="245"/>
      <c r="AG532" s="243">
        <f>+AF531-AF532</f>
        <v>0</v>
      </c>
      <c r="AH532" s="245"/>
      <c r="AI532" s="243">
        <f>+AH531-AH532</f>
        <v>0</v>
      </c>
    </row>
    <row r="533" spans="2:35">
      <c r="B533" s="327"/>
      <c r="C533" s="244"/>
      <c r="D533" s="237"/>
      <c r="E533" s="243"/>
      <c r="F533" s="237"/>
      <c r="G533" s="243"/>
      <c r="H533" s="237"/>
      <c r="I533" s="243"/>
      <c r="J533" s="237"/>
      <c r="K533" s="243"/>
      <c r="L533" s="237"/>
      <c r="M533" s="243"/>
      <c r="N533" s="237"/>
      <c r="O533" s="243"/>
      <c r="P533" s="237"/>
      <c r="Q533" s="243"/>
      <c r="R533" s="237"/>
      <c r="S533" s="243"/>
      <c r="T533" s="237"/>
      <c r="U533" s="243"/>
      <c r="V533" s="348"/>
      <c r="W533" s="243"/>
      <c r="X533" s="237"/>
      <c r="Y533" s="243"/>
      <c r="Z533" s="237"/>
      <c r="AA533" s="243"/>
      <c r="AB533" s="237"/>
      <c r="AC533" s="243"/>
      <c r="AD533" s="237"/>
      <c r="AE533" s="243"/>
      <c r="AF533" s="237"/>
      <c r="AG533" s="243"/>
      <c r="AH533" s="237"/>
      <c r="AI533" s="243"/>
    </row>
    <row r="534" spans="2:35" ht="12" thickBot="1">
      <c r="B534" s="665" t="s">
        <v>806</v>
      </c>
      <c r="C534" s="248"/>
      <c r="D534" s="245"/>
      <c r="E534" s="252">
        <f>SUM(E532:E533)</f>
        <v>3184811960</v>
      </c>
      <c r="F534" s="245"/>
      <c r="G534" s="252">
        <f>SUM(G532:G533)</f>
        <v>11998988</v>
      </c>
      <c r="H534" s="245"/>
      <c r="I534" s="252">
        <f>SUM(I532:I533)</f>
        <v>0</v>
      </c>
      <c r="J534" s="245"/>
      <c r="K534" s="252">
        <f>SUM(K532:K533)</f>
        <v>0</v>
      </c>
      <c r="L534" s="245"/>
      <c r="M534" s="252">
        <f>SUM(M532:M533)</f>
        <v>1539048984</v>
      </c>
      <c r="N534" s="245"/>
      <c r="O534" s="252">
        <f>SUM(O532:O533)</f>
        <v>0</v>
      </c>
      <c r="P534" s="245"/>
      <c r="Q534" s="252">
        <f>SUM(Q532:Q533)</f>
        <v>760882076</v>
      </c>
      <c r="R534" s="245"/>
      <c r="S534" s="252">
        <f>SUM(S532:S533)</f>
        <v>0</v>
      </c>
      <c r="T534" s="245"/>
      <c r="U534" s="252">
        <f>SUM(U532:U533)</f>
        <v>20117712</v>
      </c>
      <c r="V534" s="344"/>
      <c r="W534" s="252">
        <f>SUM(W532:W533)</f>
        <v>61709648</v>
      </c>
      <c r="X534" s="245"/>
      <c r="Y534" s="252">
        <f>SUM(Y532:Y533)</f>
        <v>42915916</v>
      </c>
      <c r="Z534" s="245"/>
      <c r="AA534" s="252">
        <f>SUM(AA532:AA533)</f>
        <v>0</v>
      </c>
      <c r="AB534" s="245"/>
      <c r="AC534" s="252">
        <f>SUM(AC532:AC533)</f>
        <v>0</v>
      </c>
      <c r="AD534" s="245"/>
      <c r="AE534" s="252">
        <f>SUM(AE532:AE533)</f>
        <v>748138636</v>
      </c>
      <c r="AF534" s="245"/>
      <c r="AG534" s="252">
        <f>SUM(AG532:AG533)</f>
        <v>0</v>
      </c>
      <c r="AH534" s="245"/>
      <c r="AI534" s="252">
        <f>SUM(AI532:AI533)</f>
        <v>0</v>
      </c>
    </row>
    <row r="536" spans="2:35" ht="14.25">
      <c r="B536" s="443"/>
      <c r="L536" s="301">
        <f>L530-L219</f>
        <v>0</v>
      </c>
      <c r="P536" s="301">
        <f>P530-P219</f>
        <v>0</v>
      </c>
      <c r="V536" s="301">
        <f>V530-V219</f>
        <v>0</v>
      </c>
      <c r="X536" s="301">
        <f>X530-X219</f>
        <v>0</v>
      </c>
      <c r="AD536" s="301">
        <f>AD530-AD219</f>
        <v>0</v>
      </c>
    </row>
    <row r="537" spans="2:35">
      <c r="B537" s="1469" t="s">
        <v>985</v>
      </c>
      <c r="C537" s="1471"/>
      <c r="D537" s="1471"/>
      <c r="E537" s="1471"/>
      <c r="F537" s="1471"/>
      <c r="G537" s="1471"/>
    </row>
    <row r="539" spans="2:35" hidden="1">
      <c r="B539" s="444" t="s">
        <v>253</v>
      </c>
    </row>
    <row r="540" spans="2:35" hidden="1"/>
    <row r="541" spans="2:35" hidden="1">
      <c r="B541" s="1477" t="s">
        <v>254</v>
      </c>
      <c r="C541" s="1477"/>
      <c r="D541" s="1477"/>
      <c r="E541" s="1477"/>
      <c r="F541" s="1477"/>
      <c r="G541" s="1477"/>
    </row>
    <row r="542" spans="2:35" hidden="1"/>
    <row r="543" spans="2:35" ht="42.75" hidden="1" customHeight="1">
      <c r="B543" s="1475" t="s">
        <v>11</v>
      </c>
      <c r="C543" s="1475"/>
      <c r="D543" s="1475"/>
      <c r="E543" s="1475"/>
      <c r="F543" s="1475"/>
      <c r="G543" s="1475"/>
    </row>
    <row r="544" spans="2:35" hidden="1"/>
    <row r="545" spans="2:7" hidden="1">
      <c r="B545" s="1477" t="s">
        <v>255</v>
      </c>
      <c r="C545" s="1477"/>
      <c r="D545" s="1477"/>
      <c r="E545" s="1477"/>
      <c r="F545" s="1477"/>
      <c r="G545" s="1477"/>
    </row>
    <row r="546" spans="2:7" hidden="1"/>
    <row r="547" spans="2:7" hidden="1">
      <c r="B547" s="1477" t="s">
        <v>534</v>
      </c>
      <c r="C547" s="1477"/>
      <c r="D547" s="1477"/>
      <c r="E547" s="1477"/>
      <c r="F547" s="1477"/>
      <c r="G547" s="1477"/>
    </row>
    <row r="548" spans="2:7" hidden="1"/>
    <row r="549" spans="2:7" hidden="1">
      <c r="B549" s="1477" t="s">
        <v>535</v>
      </c>
      <c r="C549" s="1477"/>
      <c r="D549" s="1477"/>
      <c r="E549" s="1477"/>
      <c r="F549" s="1477"/>
      <c r="G549" s="1477"/>
    </row>
    <row r="550" spans="2:7" hidden="1"/>
    <row r="551" spans="2:7" ht="28.5" hidden="1" customHeight="1">
      <c r="B551" s="1475" t="s">
        <v>549</v>
      </c>
      <c r="C551" s="1475"/>
      <c r="D551" s="1475"/>
      <c r="E551" s="1475"/>
      <c r="F551" s="1475"/>
      <c r="G551" s="1475"/>
    </row>
    <row r="552" spans="2:7" hidden="1"/>
    <row r="553" spans="2:7" ht="22.5" hidden="1" customHeight="1">
      <c r="B553" s="1475" t="s">
        <v>550</v>
      </c>
      <c r="C553" s="1475"/>
      <c r="D553" s="1475"/>
      <c r="E553" s="1475"/>
      <c r="F553" s="1475"/>
      <c r="G553" s="1475"/>
    </row>
    <row r="554" spans="2:7" hidden="1"/>
    <row r="555" spans="2:7" ht="27.75" hidden="1" customHeight="1">
      <c r="B555" s="1475" t="s">
        <v>551</v>
      </c>
      <c r="C555" s="1475"/>
      <c r="D555" s="1475"/>
      <c r="E555" s="1475"/>
      <c r="F555" s="1475"/>
      <c r="G555" s="1475"/>
    </row>
    <row r="556" spans="2:7" hidden="1"/>
    <row r="557" spans="2:7" ht="34.5" hidden="1" customHeight="1">
      <c r="B557" s="1475" t="s">
        <v>12</v>
      </c>
      <c r="C557" s="1475"/>
      <c r="D557" s="1475"/>
      <c r="E557" s="1475"/>
      <c r="F557" s="1475"/>
      <c r="G557" s="1475"/>
    </row>
    <row r="558" spans="2:7" hidden="1"/>
    <row r="559" spans="2:7" ht="23.25" hidden="1" customHeight="1">
      <c r="B559" s="1475" t="s">
        <v>560</v>
      </c>
      <c r="C559" s="1475"/>
      <c r="D559" s="1475"/>
      <c r="E559" s="1475"/>
      <c r="F559" s="1475"/>
      <c r="G559" s="1475"/>
    </row>
    <row r="560" spans="2:7" hidden="1"/>
    <row r="561" spans="2:35" hidden="1">
      <c r="B561" s="444" t="s">
        <v>561</v>
      </c>
    </row>
    <row r="562" spans="2:35" hidden="1"/>
    <row r="563" spans="2:35" ht="21.75" hidden="1" customHeight="1">
      <c r="B563" s="1475" t="s">
        <v>562</v>
      </c>
      <c r="C563" s="1475"/>
      <c r="D563" s="1475"/>
      <c r="E563" s="1475"/>
      <c r="F563" s="1475"/>
      <c r="G563" s="1475"/>
    </row>
    <row r="564" spans="2:35" hidden="1"/>
    <row r="565" spans="2:35" hidden="1">
      <c r="B565" s="1477" t="s">
        <v>581</v>
      </c>
      <c r="C565" s="1477"/>
      <c r="D565" s="1477"/>
      <c r="E565" s="1477"/>
      <c r="F565" s="1477"/>
      <c r="G565" s="1477"/>
    </row>
    <row r="566" spans="2:35" hidden="1"/>
    <row r="567" spans="2:35" hidden="1">
      <c r="B567" s="444" t="s">
        <v>582</v>
      </c>
    </row>
    <row r="569" spans="2:35">
      <c r="B569" s="419" t="s">
        <v>552</v>
      </c>
    </row>
    <row r="570" spans="2:35" ht="12" thickBot="1">
      <c r="G570" s="335" t="s">
        <v>247</v>
      </c>
    </row>
    <row r="571" spans="2:35" ht="12" thickBot="1">
      <c r="B571" s="425"/>
      <c r="C571" s="274"/>
      <c r="D571" s="1463" t="s">
        <v>860</v>
      </c>
      <c r="E571" s="1464"/>
      <c r="F571" s="1463" t="s">
        <v>17</v>
      </c>
      <c r="G571" s="1464"/>
      <c r="H571" s="1463" t="s">
        <v>18</v>
      </c>
      <c r="I571" s="1464"/>
      <c r="J571" s="1463" t="s">
        <v>19</v>
      </c>
      <c r="K571" s="1464"/>
      <c r="L571" s="1463" t="s">
        <v>20</v>
      </c>
      <c r="M571" s="1464"/>
      <c r="N571" s="1463" t="s">
        <v>21</v>
      </c>
      <c r="O571" s="1464"/>
      <c r="P571" s="1463" t="s">
        <v>22</v>
      </c>
      <c r="Q571" s="1464"/>
      <c r="R571" s="1463" t="s">
        <v>23</v>
      </c>
      <c r="S571" s="1464"/>
      <c r="T571" s="1463" t="s">
        <v>24</v>
      </c>
      <c r="U571" s="1464"/>
      <c r="V571" s="1463" t="s">
        <v>25</v>
      </c>
      <c r="W571" s="1464"/>
      <c r="X571" s="1463" t="s">
        <v>26</v>
      </c>
      <c r="Y571" s="1464"/>
      <c r="Z571" s="1463" t="s">
        <v>27</v>
      </c>
      <c r="AA571" s="1464"/>
      <c r="AB571" s="1463"/>
      <c r="AC571" s="1464"/>
      <c r="AD571" s="1463" t="s">
        <v>1266</v>
      </c>
      <c r="AE571" s="1464"/>
      <c r="AF571" s="1463" t="s">
        <v>30</v>
      </c>
      <c r="AG571" s="1464"/>
      <c r="AH571" s="1463" t="s">
        <v>31</v>
      </c>
      <c r="AI571" s="1464"/>
    </row>
    <row r="572" spans="2:35">
      <c r="B572" s="351" t="s">
        <v>585</v>
      </c>
      <c r="C572" s="251"/>
      <c r="D572" s="249"/>
      <c r="E572" s="250">
        <f>G572+I572+K572+M572+O572+Q572+S572+U572+W572+Y572+AA572+AC572+AE572+AG572+AI572</f>
        <v>182374402388</v>
      </c>
      <c r="F572" s="249"/>
      <c r="G572" s="250">
        <v>76834907033</v>
      </c>
      <c r="H572" s="249"/>
      <c r="I572" s="250">
        <v>2260018710</v>
      </c>
      <c r="J572" s="249"/>
      <c r="K572" s="250">
        <v>19405685906</v>
      </c>
      <c r="L572" s="249"/>
      <c r="M572" s="250">
        <v>15120814939</v>
      </c>
      <c r="N572" s="249"/>
      <c r="O572" s="250"/>
      <c r="P572" s="249"/>
      <c r="Q572" s="250">
        <v>8214205241</v>
      </c>
      <c r="R572" s="249"/>
      <c r="S572" s="250">
        <v>18097888</v>
      </c>
      <c r="T572" s="249"/>
      <c r="U572" s="250">
        <v>16077782015</v>
      </c>
      <c r="V572" s="249"/>
      <c r="W572" s="250">
        <v>8463993036</v>
      </c>
      <c r="X572" s="249"/>
      <c r="Y572" s="250">
        <v>771445072</v>
      </c>
      <c r="Z572" s="249"/>
      <c r="AA572" s="250">
        <v>17601604746</v>
      </c>
      <c r="AB572" s="249"/>
      <c r="AC572" s="250"/>
      <c r="AD572" s="249"/>
      <c r="AE572" s="250">
        <v>10680207109</v>
      </c>
      <c r="AF572" s="249"/>
      <c r="AG572" s="250">
        <v>6925640693</v>
      </c>
      <c r="AH572" s="249"/>
      <c r="AI572" s="250"/>
    </row>
    <row r="573" spans="2:35">
      <c r="B573" s="327" t="s">
        <v>586</v>
      </c>
      <c r="C573" s="244"/>
      <c r="D573" s="237"/>
      <c r="E573" s="243">
        <f>G573+I573+K573+M573+O573+Q573+S573+U573+W573+Y573+AA573+AC573+AE573+AG573+AI573</f>
        <v>46196489</v>
      </c>
      <c r="F573" s="237"/>
      <c r="G573" s="243"/>
      <c r="H573" s="237"/>
      <c r="I573" s="243">
        <v>79121</v>
      </c>
      <c r="J573" s="237"/>
      <c r="K573" s="243"/>
      <c r="L573" s="237"/>
      <c r="M573" s="243"/>
      <c r="N573" s="237"/>
      <c r="O573" s="243"/>
      <c r="P573" s="237"/>
      <c r="Q573" s="243">
        <v>32362810</v>
      </c>
      <c r="R573" s="237"/>
      <c r="S573" s="243"/>
      <c r="T573" s="237"/>
      <c r="U573" s="243"/>
      <c r="V573" s="237"/>
      <c r="W573" s="243">
        <v>11729223</v>
      </c>
      <c r="X573" s="237"/>
      <c r="Y573" s="243"/>
      <c r="Z573" s="237"/>
      <c r="AA573" s="243"/>
      <c r="AB573" s="237"/>
      <c r="AC573" s="243"/>
      <c r="AD573" s="237"/>
      <c r="AE573" s="243">
        <v>2025335</v>
      </c>
      <c r="AF573" s="237"/>
      <c r="AG573" s="243"/>
      <c r="AH573" s="237"/>
      <c r="AI573" s="243"/>
    </row>
    <row r="574" spans="2:35">
      <c r="B574" s="422" t="s">
        <v>587</v>
      </c>
      <c r="C574" s="244"/>
      <c r="D574" s="237"/>
      <c r="E574" s="243"/>
      <c r="F574" s="237"/>
      <c r="G574" s="243"/>
      <c r="H574" s="237"/>
      <c r="I574" s="243"/>
      <c r="J574" s="237"/>
      <c r="K574" s="243"/>
      <c r="L574" s="237"/>
      <c r="M574" s="243"/>
      <c r="N574" s="237"/>
      <c r="O574" s="243"/>
      <c r="P574" s="237"/>
      <c r="Q574" s="243"/>
      <c r="R574" s="237"/>
      <c r="S574" s="243"/>
      <c r="T574" s="237"/>
      <c r="U574" s="243"/>
      <c r="V574" s="237"/>
      <c r="W574" s="243"/>
      <c r="X574" s="237"/>
      <c r="Y574" s="243"/>
      <c r="Z574" s="237"/>
      <c r="AA574" s="243"/>
      <c r="AB574" s="237"/>
      <c r="AC574" s="243"/>
      <c r="AD574" s="237"/>
      <c r="AE574" s="243"/>
      <c r="AF574" s="237"/>
      <c r="AG574" s="243"/>
      <c r="AH574" s="237"/>
      <c r="AI574" s="243"/>
    </row>
    <row r="575" spans="2:35">
      <c r="B575" s="327" t="s">
        <v>404</v>
      </c>
      <c r="C575" s="244"/>
      <c r="D575" s="237">
        <f>F575+H575+J575+L575+N575+P575+R575+T575+V575+X575+Z575+AB575+AD575+AF575+AH575</f>
        <v>1324827</v>
      </c>
      <c r="E575" s="243"/>
      <c r="F575" s="237"/>
      <c r="G575" s="243"/>
      <c r="H575" s="237"/>
      <c r="I575" s="243"/>
      <c r="J575" s="237"/>
      <c r="K575" s="243"/>
      <c r="L575" s="237"/>
      <c r="M575" s="243"/>
      <c r="N575" s="237"/>
      <c r="O575" s="243"/>
      <c r="P575" s="237">
        <v>120004</v>
      </c>
      <c r="Q575" s="243"/>
      <c r="R575" s="237"/>
      <c r="S575" s="243"/>
      <c r="T575" s="237"/>
      <c r="U575" s="243"/>
      <c r="V575" s="237">
        <v>1204823</v>
      </c>
      <c r="W575" s="243"/>
      <c r="X575" s="237"/>
      <c r="Y575" s="243"/>
      <c r="Z575" s="237"/>
      <c r="AA575" s="243"/>
      <c r="AB575" s="237"/>
      <c r="AC575" s="243"/>
      <c r="AD575" s="237"/>
      <c r="AE575" s="243"/>
      <c r="AF575" s="237"/>
      <c r="AG575" s="243"/>
      <c r="AH575" s="237"/>
      <c r="AI575" s="243"/>
    </row>
    <row r="576" spans="2:35">
      <c r="B576" s="327" t="s">
        <v>405</v>
      </c>
      <c r="C576" s="244"/>
      <c r="D576" s="237">
        <f>F576+H576+J576+L576+N576+P576+R576+T576+V576+X576+Z576+AB576+AD576+AF576+AH576</f>
        <v>231214776</v>
      </c>
      <c r="E576" s="243"/>
      <c r="F576" s="237"/>
      <c r="G576" s="243"/>
      <c r="H576" s="237"/>
      <c r="I576" s="243"/>
      <c r="J576" s="237">
        <v>55599970</v>
      </c>
      <c r="K576" s="243"/>
      <c r="L576" s="237"/>
      <c r="M576" s="243"/>
      <c r="N576" s="237"/>
      <c r="O576" s="243"/>
      <c r="P576" s="237">
        <v>48931</v>
      </c>
      <c r="Q576" s="243"/>
      <c r="R576" s="237"/>
      <c r="S576" s="243"/>
      <c r="T576" s="237">
        <v>166284014</v>
      </c>
      <c r="U576" s="243"/>
      <c r="V576" s="237">
        <v>8814185</v>
      </c>
      <c r="W576" s="243"/>
      <c r="X576" s="237"/>
      <c r="Y576" s="243"/>
      <c r="Z576" s="758">
        <v>467676</v>
      </c>
      <c r="AA576" s="243"/>
      <c r="AB576" s="237"/>
      <c r="AC576" s="243"/>
      <c r="AD576" s="237"/>
      <c r="AE576" s="243"/>
      <c r="AF576" s="237"/>
      <c r="AG576" s="243"/>
      <c r="AH576" s="237"/>
      <c r="AI576" s="243"/>
    </row>
    <row r="577" spans="2:35">
      <c r="B577" s="327" t="s">
        <v>406</v>
      </c>
      <c r="C577" s="244"/>
      <c r="D577" s="237">
        <f>F577+H577+J577+L577+N577+P577+R577+T577+V577+X577+Z577+AB577+AD577+AF577+AH577</f>
        <v>0</v>
      </c>
      <c r="E577" s="243"/>
      <c r="F577" s="237"/>
      <c r="G577" s="243"/>
      <c r="H577" s="237"/>
      <c r="I577" s="243"/>
      <c r="J577" s="237"/>
      <c r="K577" s="243"/>
      <c r="L577" s="237"/>
      <c r="M577" s="243"/>
      <c r="N577" s="237"/>
      <c r="O577" s="243"/>
      <c r="P577" s="237"/>
      <c r="Q577" s="243"/>
      <c r="R577" s="237"/>
      <c r="S577" s="243"/>
      <c r="T577" s="237"/>
      <c r="U577" s="243"/>
      <c r="V577" s="237"/>
      <c r="W577" s="243"/>
      <c r="X577" s="237"/>
      <c r="Y577" s="243"/>
      <c r="Z577" s="237"/>
      <c r="AA577" s="243"/>
      <c r="AB577" s="237"/>
      <c r="AC577" s="243"/>
      <c r="AD577" s="237"/>
      <c r="AE577" s="243"/>
      <c r="AF577" s="237"/>
      <c r="AG577" s="243"/>
      <c r="AH577" s="237"/>
      <c r="AI577" s="243"/>
    </row>
    <row r="578" spans="2:35" ht="12" thickBot="1">
      <c r="B578" s="327" t="s">
        <v>407</v>
      </c>
      <c r="C578" s="244"/>
      <c r="D578" s="245">
        <f>F578+H578+J578+L578+N578+P578+R578+T578+V578+X578+Z578+AB578+AD578+AF578+AH578</f>
        <v>195245672</v>
      </c>
      <c r="E578" s="243">
        <f>SUM(D575:D578)</f>
        <v>427785275</v>
      </c>
      <c r="F578" s="245"/>
      <c r="G578" s="243">
        <f>SUM(F575:F578)</f>
        <v>0</v>
      </c>
      <c r="H578" s="245"/>
      <c r="I578" s="243">
        <f>SUM(H575:H578)</f>
        <v>0</v>
      </c>
      <c r="J578" s="245"/>
      <c r="K578" s="243">
        <f>SUM(J575:J578)</f>
        <v>55599970</v>
      </c>
      <c r="L578" s="245"/>
      <c r="M578" s="243">
        <f>SUM(L575:L578)</f>
        <v>0</v>
      </c>
      <c r="N578" s="245"/>
      <c r="O578" s="243">
        <f>SUM(N575:N578)</f>
        <v>0</v>
      </c>
      <c r="P578" s="245"/>
      <c r="Q578" s="243">
        <f>SUM(P575:P578)</f>
        <v>168935</v>
      </c>
      <c r="R578" s="245">
        <v>683547</v>
      </c>
      <c r="S578" s="243">
        <f>SUM(R575:R578)</f>
        <v>683547</v>
      </c>
      <c r="T578" s="245">
        <v>148489707</v>
      </c>
      <c r="U578" s="243">
        <f>SUM(T575:T578)</f>
        <v>314773721</v>
      </c>
      <c r="V578" s="245"/>
      <c r="W578" s="243">
        <f>SUM(V575:V578)</f>
        <v>10019008</v>
      </c>
      <c r="X578" s="245"/>
      <c r="Y578" s="243">
        <f>SUM(X575:X578)</f>
        <v>0</v>
      </c>
      <c r="Z578" s="245">
        <v>10177890</v>
      </c>
      <c r="AA578" s="243">
        <f>SUM(Z575:Z578)</f>
        <v>10645566</v>
      </c>
      <c r="AB578" s="245"/>
      <c r="AC578" s="243">
        <f>SUM(AB575:AB578)</f>
        <v>0</v>
      </c>
      <c r="AD578" s="245">
        <v>14400959</v>
      </c>
      <c r="AE578" s="243">
        <f>SUM(AD575:AD578)</f>
        <v>14400959</v>
      </c>
      <c r="AF578" s="245">
        <v>21493569</v>
      </c>
      <c r="AG578" s="243">
        <f>SUM(AF575:AF578)</f>
        <v>21493569</v>
      </c>
      <c r="AH578" s="245"/>
      <c r="AI578" s="243">
        <f>SUM(AH575:AH578)</f>
        <v>0</v>
      </c>
    </row>
    <row r="579" spans="2:35">
      <c r="B579" s="327"/>
      <c r="C579" s="244"/>
      <c r="D579" s="237"/>
      <c r="E579" s="243">
        <f>SUM(E572:E578)</f>
        <v>182848384152</v>
      </c>
      <c r="F579" s="237"/>
      <c r="G579" s="243">
        <f>SUM(G572:G578)</f>
        <v>76834907033</v>
      </c>
      <c r="H579" s="237"/>
      <c r="I579" s="243">
        <f>SUM(I572:I578)</f>
        <v>2260097831</v>
      </c>
      <c r="J579" s="237"/>
      <c r="K579" s="243">
        <f>SUM(K572:K578)</f>
        <v>19461285876</v>
      </c>
      <c r="L579" s="237"/>
      <c r="M579" s="243">
        <f>SUM(M572:M578)</f>
        <v>15120814939</v>
      </c>
      <c r="N579" s="237"/>
      <c r="O579" s="243">
        <f>SUM(O572:O578)</f>
        <v>0</v>
      </c>
      <c r="P579" s="237"/>
      <c r="Q579" s="243">
        <f>SUM(Q572:Q578)</f>
        <v>8246736986</v>
      </c>
      <c r="R579" s="237"/>
      <c r="S579" s="243">
        <f>SUM(S572:S578)</f>
        <v>18781435</v>
      </c>
      <c r="T579" s="237"/>
      <c r="U579" s="243">
        <f>SUM(U572:U578)</f>
        <v>16392555736</v>
      </c>
      <c r="V579" s="237"/>
      <c r="W579" s="243">
        <f>SUM(W572:W578)</f>
        <v>8485741267</v>
      </c>
      <c r="X579" s="237"/>
      <c r="Y579" s="243">
        <f>SUM(Y572:Y578)</f>
        <v>771445072</v>
      </c>
      <c r="Z579" s="237"/>
      <c r="AA579" s="243">
        <f>SUM(AA572:AA578)</f>
        <v>17612250312</v>
      </c>
      <c r="AB579" s="237"/>
      <c r="AC579" s="243">
        <f>SUM(AC572:AC578)</f>
        <v>0</v>
      </c>
      <c r="AD579" s="237"/>
      <c r="AE579" s="243">
        <f>SUM(AE572:AE578)</f>
        <v>10696633403</v>
      </c>
      <c r="AF579" s="237"/>
      <c r="AG579" s="243">
        <f>SUM(AG572:AG578)</f>
        <v>6947134262</v>
      </c>
      <c r="AH579" s="237"/>
      <c r="AI579" s="243">
        <f>SUM(AI572:AI578)</f>
        <v>0</v>
      </c>
    </row>
    <row r="580" spans="2:35">
      <c r="B580" s="237" t="s">
        <v>981</v>
      </c>
      <c r="C580" s="244"/>
      <c r="D580" s="237"/>
      <c r="E580" s="243"/>
      <c r="F580" s="237"/>
      <c r="G580" s="243"/>
      <c r="H580" s="237"/>
      <c r="I580" s="243"/>
      <c r="J580" s="237"/>
      <c r="K580" s="243"/>
      <c r="L580" s="237"/>
      <c r="M580" s="243"/>
      <c r="N580" s="237"/>
      <c r="O580" s="243"/>
      <c r="P580" s="237"/>
      <c r="Q580" s="243"/>
      <c r="R580" s="237"/>
      <c r="S580" s="243"/>
      <c r="T580" s="237"/>
      <c r="U580" s="243"/>
      <c r="V580" s="237"/>
      <c r="W580" s="243"/>
      <c r="X580" s="237"/>
      <c r="Y580" s="243"/>
      <c r="Z580" s="237"/>
      <c r="AA580" s="243"/>
      <c r="AB580" s="237"/>
      <c r="AC580" s="243"/>
      <c r="AD580" s="237"/>
      <c r="AE580" s="243"/>
      <c r="AF580" s="237"/>
      <c r="AG580" s="243"/>
      <c r="AH580" s="237"/>
      <c r="AI580" s="243"/>
    </row>
    <row r="581" spans="2:35">
      <c r="B581" s="327" t="s">
        <v>982</v>
      </c>
      <c r="C581" s="244"/>
      <c r="D581" s="237">
        <f>F581+H581+J581+L581+N581+P581+R581+T581+V581+X581+Z581+AB581+AD581+AF581+AH581</f>
        <v>5557067</v>
      </c>
      <c r="E581" s="243">
        <f>D581</f>
        <v>5557067</v>
      </c>
      <c r="F581" s="237"/>
      <c r="G581" s="243">
        <f>F581</f>
        <v>0</v>
      </c>
      <c r="H581" s="237">
        <v>39993</v>
      </c>
      <c r="I581" s="243">
        <f>H581</f>
        <v>39993</v>
      </c>
      <c r="J581" s="237"/>
      <c r="K581" s="243">
        <f>J581</f>
        <v>0</v>
      </c>
      <c r="L581" s="237"/>
      <c r="M581" s="243">
        <f>L581</f>
        <v>0</v>
      </c>
      <c r="N581" s="237"/>
      <c r="O581" s="243">
        <f>N581</f>
        <v>0</v>
      </c>
      <c r="P581" s="237"/>
      <c r="Q581" s="243">
        <f>P581</f>
        <v>0</v>
      </c>
      <c r="R581" s="237"/>
      <c r="S581" s="243">
        <f>R581</f>
        <v>0</v>
      </c>
      <c r="T581" s="237"/>
      <c r="U581" s="243">
        <f>T581</f>
        <v>0</v>
      </c>
      <c r="V581" s="237"/>
      <c r="W581" s="243">
        <f>V581</f>
        <v>0</v>
      </c>
      <c r="X581" s="237"/>
      <c r="Y581" s="243">
        <f>X581</f>
        <v>0</v>
      </c>
      <c r="Z581" s="237"/>
      <c r="AA581" s="243">
        <f>Z581</f>
        <v>0</v>
      </c>
      <c r="AB581" s="237"/>
      <c r="AC581" s="243">
        <f>AB581</f>
        <v>0</v>
      </c>
      <c r="AD581" s="237">
        <v>5517074</v>
      </c>
      <c r="AE581" s="243">
        <f>AD581</f>
        <v>5517074</v>
      </c>
      <c r="AF581" s="237"/>
      <c r="AG581" s="243">
        <f>AF581</f>
        <v>0</v>
      </c>
      <c r="AH581" s="237"/>
      <c r="AI581" s="243">
        <f>AH581</f>
        <v>0</v>
      </c>
    </row>
    <row r="582" spans="2:35" ht="12" thickBot="1">
      <c r="B582" s="667" t="s">
        <v>806</v>
      </c>
      <c r="C582" s="244"/>
      <c r="D582" s="237"/>
      <c r="E582" s="246">
        <f>E579-E581</f>
        <v>182842827085</v>
      </c>
      <c r="F582" s="237"/>
      <c r="G582" s="246">
        <f>G579-G581</f>
        <v>76834907033</v>
      </c>
      <c r="H582" s="237"/>
      <c r="I582" s="246">
        <f>I579-I581</f>
        <v>2260057838</v>
      </c>
      <c r="J582" s="237"/>
      <c r="K582" s="246">
        <f>K579-K581</f>
        <v>19461285876</v>
      </c>
      <c r="L582" s="237"/>
      <c r="M582" s="246">
        <f>M579-M581</f>
        <v>15120814939</v>
      </c>
      <c r="N582" s="237"/>
      <c r="O582" s="246">
        <f>O579-O581</f>
        <v>0</v>
      </c>
      <c r="P582" s="237"/>
      <c r="Q582" s="246">
        <f>Q579-Q581</f>
        <v>8246736986</v>
      </c>
      <c r="R582" s="237"/>
      <c r="S582" s="246">
        <f>S579-S581</f>
        <v>18781435</v>
      </c>
      <c r="T582" s="237"/>
      <c r="U582" s="246">
        <f>U579-U581</f>
        <v>16392555736</v>
      </c>
      <c r="V582" s="237"/>
      <c r="W582" s="246">
        <f>W579-W581</f>
        <v>8485741267</v>
      </c>
      <c r="X582" s="237"/>
      <c r="Y582" s="246">
        <f>Y579-Y581</f>
        <v>771445072</v>
      </c>
      <c r="Z582" s="237"/>
      <c r="AA582" s="246">
        <f>AA579-AA581</f>
        <v>17612250312</v>
      </c>
      <c r="AB582" s="237"/>
      <c r="AC582" s="246">
        <f>AC579-AC581</f>
        <v>0</v>
      </c>
      <c r="AD582" s="237"/>
      <c r="AE582" s="246">
        <f>AE579-AE581</f>
        <v>10691116329</v>
      </c>
      <c r="AF582" s="237"/>
      <c r="AG582" s="246">
        <f>AG579-AG581</f>
        <v>6947134262</v>
      </c>
      <c r="AH582" s="237"/>
      <c r="AI582" s="246">
        <f>AI579-AI581</f>
        <v>0</v>
      </c>
    </row>
    <row r="583" spans="2:35" ht="12.75" thickTop="1" thickBot="1">
      <c r="B583" s="245"/>
      <c r="C583" s="248"/>
      <c r="D583" s="245"/>
      <c r="E583" s="247"/>
      <c r="F583" s="245"/>
      <c r="G583" s="247"/>
      <c r="H583" s="245"/>
      <c r="I583" s="247"/>
      <c r="J583" s="245"/>
      <c r="K583" s="247"/>
      <c r="L583" s="245"/>
      <c r="M583" s="247"/>
      <c r="N583" s="245"/>
      <c r="O583" s="247"/>
      <c r="P583" s="245"/>
      <c r="Q583" s="247"/>
      <c r="R583" s="245"/>
      <c r="S583" s="247"/>
      <c r="T583" s="245"/>
      <c r="U583" s="247"/>
      <c r="V583" s="245"/>
      <c r="W583" s="247"/>
      <c r="X583" s="245"/>
      <c r="Y583" s="247"/>
      <c r="Z583" s="245"/>
      <c r="AA583" s="247"/>
      <c r="AB583" s="245"/>
      <c r="AC583" s="247"/>
      <c r="AD583" s="245"/>
      <c r="AE583" s="247"/>
      <c r="AF583" s="245"/>
      <c r="AG583" s="247"/>
      <c r="AH583" s="245"/>
      <c r="AI583" s="247"/>
    </row>
    <row r="585" spans="2:35" ht="35.25" hidden="1" customHeight="1">
      <c r="B585" s="1475" t="s">
        <v>589</v>
      </c>
      <c r="C585" s="1475"/>
      <c r="D585" s="1475"/>
      <c r="E585" s="1475"/>
      <c r="F585" s="1475"/>
      <c r="G585" s="1475"/>
    </row>
    <row r="586" spans="2:35" hidden="1"/>
    <row r="587" spans="2:35" ht="30.75" hidden="1" customHeight="1">
      <c r="B587" s="1475" t="s">
        <v>932</v>
      </c>
      <c r="C587" s="1475"/>
      <c r="D587" s="1475"/>
      <c r="E587" s="1475"/>
      <c r="F587" s="1475"/>
      <c r="G587" s="1475"/>
    </row>
    <row r="589" spans="2:35">
      <c r="B589" s="419" t="s">
        <v>553</v>
      </c>
    </row>
    <row r="590" spans="2:35" ht="12" thickBot="1">
      <c r="G590" s="335" t="s">
        <v>247</v>
      </c>
    </row>
    <row r="591" spans="2:35" ht="12" thickBot="1">
      <c r="B591" s="425"/>
      <c r="C591" s="274"/>
      <c r="D591" s="1463" t="s">
        <v>860</v>
      </c>
      <c r="E591" s="1464"/>
      <c r="F591" s="1463" t="s">
        <v>17</v>
      </c>
      <c r="G591" s="1464"/>
      <c r="H591" s="1463" t="s">
        <v>18</v>
      </c>
      <c r="I591" s="1464"/>
      <c r="J591" s="1463" t="s">
        <v>19</v>
      </c>
      <c r="K591" s="1464"/>
      <c r="L591" s="1463" t="s">
        <v>20</v>
      </c>
      <c r="M591" s="1464"/>
      <c r="N591" s="1463" t="s">
        <v>21</v>
      </c>
      <c r="O591" s="1464"/>
      <c r="P591" s="1463" t="s">
        <v>22</v>
      </c>
      <c r="Q591" s="1464"/>
      <c r="R591" s="1463" t="s">
        <v>23</v>
      </c>
      <c r="S591" s="1464"/>
      <c r="T591" s="1463" t="s">
        <v>24</v>
      </c>
      <c r="U591" s="1464"/>
      <c r="V591" s="1463" t="s">
        <v>25</v>
      </c>
      <c r="W591" s="1464"/>
      <c r="X591" s="1463" t="s">
        <v>26</v>
      </c>
      <c r="Y591" s="1464"/>
      <c r="Z591" s="1463" t="s">
        <v>27</v>
      </c>
      <c r="AA591" s="1464"/>
      <c r="AB591" s="1463"/>
      <c r="AC591" s="1464"/>
      <c r="AD591" s="1463" t="s">
        <v>1266</v>
      </c>
      <c r="AE591" s="1464"/>
      <c r="AF591" s="1463" t="s">
        <v>30</v>
      </c>
      <c r="AG591" s="1464"/>
      <c r="AH591" s="1463" t="s">
        <v>31</v>
      </c>
      <c r="AI591" s="1464"/>
    </row>
    <row r="592" spans="2:35">
      <c r="B592" s="351" t="s">
        <v>595</v>
      </c>
      <c r="C592" s="251"/>
      <c r="D592" s="249"/>
      <c r="E592" s="250"/>
      <c r="F592" s="251"/>
      <c r="G592" s="250"/>
      <c r="H592" s="251"/>
      <c r="I592" s="250"/>
      <c r="J592" s="251"/>
      <c r="K592" s="250"/>
      <c r="L592" s="251"/>
      <c r="M592" s="250"/>
      <c r="N592" s="251"/>
      <c r="O592" s="250"/>
      <c r="P592" s="251"/>
      <c r="Q592" s="250"/>
      <c r="R592" s="251"/>
      <c r="S592" s="250"/>
      <c r="T592" s="251"/>
      <c r="U592" s="250"/>
      <c r="V592" s="427"/>
      <c r="W592" s="250"/>
      <c r="X592" s="251"/>
      <c r="Y592" s="250"/>
      <c r="Z592" s="251"/>
      <c r="AA592" s="250"/>
      <c r="AB592" s="251"/>
      <c r="AC592" s="250"/>
      <c r="AD592" s="251"/>
      <c r="AE592" s="250"/>
      <c r="AF592" s="251"/>
      <c r="AG592" s="250"/>
      <c r="AH592" s="251"/>
      <c r="AI592" s="250"/>
    </row>
    <row r="593" spans="2:35">
      <c r="B593" s="364" t="s">
        <v>591</v>
      </c>
      <c r="C593" s="244"/>
      <c r="D593" s="237">
        <f>F593+H593+J593+L593+N593+P593+R593+T593+V593+X593+Z593+AB593+AD593+AF593+AH593</f>
        <v>311461973</v>
      </c>
      <c r="E593" s="243"/>
      <c r="F593" s="244">
        <v>275512361</v>
      </c>
      <c r="G593" s="243"/>
      <c r="H593" s="244">
        <v>1431052</v>
      </c>
      <c r="I593" s="243"/>
      <c r="J593" s="244">
        <v>2565053</v>
      </c>
      <c r="K593" s="243"/>
      <c r="L593" s="244">
        <v>11247563</v>
      </c>
      <c r="M593" s="243"/>
      <c r="N593" s="244"/>
      <c r="O593" s="243"/>
      <c r="P593" s="244">
        <v>2755129</v>
      </c>
      <c r="Q593" s="243"/>
      <c r="R593" s="244"/>
      <c r="S593" s="243"/>
      <c r="T593" s="244">
        <v>12256</v>
      </c>
      <c r="U593" s="243"/>
      <c r="V593" s="341">
        <v>4126125</v>
      </c>
      <c r="W593" s="243"/>
      <c r="X593" s="244">
        <v>5419032</v>
      </c>
      <c r="Y593" s="243"/>
      <c r="Z593" s="244">
        <v>14036</v>
      </c>
      <c r="AA593" s="243"/>
      <c r="AB593" s="244"/>
      <c r="AC593" s="243"/>
      <c r="AD593" s="244">
        <v>2266094</v>
      </c>
      <c r="AE593" s="243"/>
      <c r="AF593" s="244">
        <v>6113272</v>
      </c>
      <c r="AG593" s="243"/>
      <c r="AH593" s="244"/>
      <c r="AI593" s="243"/>
    </row>
    <row r="594" spans="2:35" ht="21">
      <c r="B594" s="364" t="s">
        <v>592</v>
      </c>
      <c r="C594" s="244"/>
      <c r="D594" s="237">
        <f>F594+H594+J594+L594+N594+P594+R594+T594+V594+X594+Z594+AB594+AD594+AF594+AH594</f>
        <v>40146945</v>
      </c>
      <c r="E594" s="243"/>
      <c r="F594" s="244"/>
      <c r="G594" s="243"/>
      <c r="H594" s="244"/>
      <c r="I594" s="243"/>
      <c r="J594" s="244"/>
      <c r="K594" s="243"/>
      <c r="L594" s="244">
        <v>0</v>
      </c>
      <c r="M594" s="243"/>
      <c r="N594" s="244"/>
      <c r="O594" s="243"/>
      <c r="P594" s="244"/>
      <c r="Q594" s="243"/>
      <c r="R594" s="244"/>
      <c r="S594" s="243"/>
      <c r="T594" s="244"/>
      <c r="U594" s="243"/>
      <c r="V594" s="341"/>
      <c r="W594" s="243"/>
      <c r="X594" s="244"/>
      <c r="Y594" s="243"/>
      <c r="Z594" s="244"/>
      <c r="AA594" s="243"/>
      <c r="AB594" s="244"/>
      <c r="AC594" s="243"/>
      <c r="AD594" s="244">
        <v>24158</v>
      </c>
      <c r="AE594" s="243"/>
      <c r="AF594" s="244">
        <v>40122787</v>
      </c>
      <c r="AG594" s="243"/>
      <c r="AH594" s="244"/>
      <c r="AI594" s="243"/>
    </row>
    <row r="595" spans="2:35" ht="12" thickBot="1">
      <c r="B595" s="364" t="s">
        <v>593</v>
      </c>
      <c r="C595" s="244"/>
      <c r="D595" s="245">
        <f>F595+H595+J595+L595+N595+P595+R595+T595+V595+X595+Z595+AB595+AD595+AF595+AH595</f>
        <v>646250155</v>
      </c>
      <c r="E595" s="243">
        <f>+SUM(D593:D595)</f>
        <v>997859073</v>
      </c>
      <c r="F595" s="245">
        <f>400842050-389884919</f>
        <v>10957131</v>
      </c>
      <c r="G595" s="243">
        <f>+SUM(F593:F595)</f>
        <v>286469492</v>
      </c>
      <c r="H595" s="245">
        <v>1678083</v>
      </c>
      <c r="I595" s="243">
        <f>+SUM(H593:H595)</f>
        <v>3109135</v>
      </c>
      <c r="J595" s="245">
        <v>551865</v>
      </c>
      <c r="K595" s="243">
        <f>+SUM(J593:J595)</f>
        <v>3116918</v>
      </c>
      <c r="L595" s="245">
        <v>5547341</v>
      </c>
      <c r="M595" s="243">
        <f>+SUM(L593:L595)</f>
        <v>16794904</v>
      </c>
      <c r="N595" s="245"/>
      <c r="O595" s="243">
        <f>+SUM(N593:N595)</f>
        <v>0</v>
      </c>
      <c r="P595" s="245">
        <v>12862229</v>
      </c>
      <c r="Q595" s="243">
        <f>+SUM(P593:P595)</f>
        <v>15617358</v>
      </c>
      <c r="R595" s="245">
        <v>435835</v>
      </c>
      <c r="S595" s="243">
        <f>+SUM(R593:R595)</f>
        <v>435835</v>
      </c>
      <c r="T595" s="245">
        <v>605900433</v>
      </c>
      <c r="U595" s="243">
        <f>+SUM(T593:T595)</f>
        <v>605912689</v>
      </c>
      <c r="V595" s="344">
        <v>1064415</v>
      </c>
      <c r="W595" s="243">
        <f>+SUM(V593:V595)</f>
        <v>5190540</v>
      </c>
      <c r="X595" s="245">
        <v>162869</v>
      </c>
      <c r="Y595" s="243">
        <f>+SUM(X593:X595)</f>
        <v>5581901</v>
      </c>
      <c r="Z595" s="245">
        <v>1717796</v>
      </c>
      <c r="AA595" s="243">
        <f>+SUM(Z593:Z595)</f>
        <v>1731832</v>
      </c>
      <c r="AB595" s="245"/>
      <c r="AC595" s="243">
        <f>+SUM(AB593:AB595)</f>
        <v>0</v>
      </c>
      <c r="AD595" s="245">
        <v>3295077</v>
      </c>
      <c r="AE595" s="243">
        <f>+SUM(AD593:AD595)</f>
        <v>5585329</v>
      </c>
      <c r="AF595" s="245">
        <v>1880794</v>
      </c>
      <c r="AG595" s="243">
        <f>+SUM(AF593:AF595)</f>
        <v>48116853</v>
      </c>
      <c r="AH595" s="245">
        <v>196287</v>
      </c>
      <c r="AI595" s="243">
        <f>+SUM(AH593:AH595)</f>
        <v>196287</v>
      </c>
    </row>
    <row r="596" spans="2:35" ht="14.25" customHeight="1">
      <c r="B596" s="327" t="s">
        <v>1185</v>
      </c>
      <c r="C596" s="244"/>
      <c r="D596" s="237"/>
      <c r="E596" s="243"/>
      <c r="F596" s="244"/>
      <c r="G596" s="243"/>
      <c r="H596" s="244"/>
      <c r="I596" s="243">
        <v>0</v>
      </c>
      <c r="J596" s="244"/>
      <c r="K596" s="243">
        <v>0</v>
      </c>
      <c r="L596" s="244"/>
      <c r="M596" s="243">
        <v>0</v>
      </c>
      <c r="N596" s="244"/>
      <c r="O596" s="243">
        <v>0</v>
      </c>
      <c r="P596" s="244"/>
      <c r="Q596" s="243">
        <v>0</v>
      </c>
      <c r="R596" s="244"/>
      <c r="S596" s="243">
        <v>0</v>
      </c>
      <c r="T596" s="244"/>
      <c r="U596" s="243">
        <v>0</v>
      </c>
      <c r="V596" s="341"/>
      <c r="W596" s="243">
        <v>0</v>
      </c>
      <c r="X596" s="244"/>
      <c r="Y596" s="243">
        <v>0</v>
      </c>
      <c r="Z596" s="244"/>
      <c r="AA596" s="243">
        <v>0</v>
      </c>
      <c r="AB596" s="244"/>
      <c r="AC596" s="243">
        <v>0</v>
      </c>
      <c r="AD596" s="244"/>
      <c r="AE596" s="243">
        <v>0</v>
      </c>
      <c r="AF596" s="244"/>
      <c r="AG596" s="243">
        <v>0</v>
      </c>
      <c r="AH596" s="244"/>
      <c r="AI596" s="243">
        <v>0</v>
      </c>
    </row>
    <row r="597" spans="2:35" ht="14.25" customHeight="1">
      <c r="B597" s="327" t="s">
        <v>1275</v>
      </c>
      <c r="C597" s="244"/>
      <c r="D597" s="237">
        <f t="shared" ref="D597:D598" si="25">F597+H597+J597+L597+N597+P597+R597+T597+V597+X597+Z597+AB597+AD597+AF597+AH597</f>
        <v>52338000</v>
      </c>
      <c r="E597" s="243"/>
      <c r="F597" s="244">
        <v>52338000</v>
      </c>
      <c r="G597" s="243"/>
      <c r="H597" s="244"/>
      <c r="I597" s="243"/>
      <c r="J597" s="244"/>
      <c r="K597" s="243"/>
      <c r="L597" s="244"/>
      <c r="M597" s="243"/>
      <c r="N597" s="244"/>
      <c r="O597" s="243"/>
      <c r="P597" s="244"/>
      <c r="Q597" s="243"/>
      <c r="R597" s="244"/>
      <c r="S597" s="243"/>
      <c r="T597" s="244"/>
      <c r="U597" s="243"/>
      <c r="V597" s="341"/>
      <c r="W597" s="243"/>
      <c r="X597" s="244"/>
      <c r="Y597" s="243"/>
      <c r="Z597" s="244"/>
      <c r="AA597" s="243"/>
      <c r="AB597" s="244"/>
      <c r="AC597" s="243"/>
      <c r="AD597" s="244"/>
      <c r="AE597" s="243"/>
      <c r="AF597" s="244"/>
      <c r="AG597" s="243"/>
      <c r="AH597" s="244"/>
      <c r="AI597" s="243"/>
    </row>
    <row r="598" spans="2:35" ht="14.25" customHeight="1" thickBot="1">
      <c r="B598" s="327" t="s">
        <v>1187</v>
      </c>
      <c r="C598" s="244"/>
      <c r="D598" s="245">
        <f t="shared" si="25"/>
        <v>19398155</v>
      </c>
      <c r="E598" s="243">
        <f>+D598+D597</f>
        <v>71736155</v>
      </c>
      <c r="F598" s="245">
        <v>19398155</v>
      </c>
      <c r="G598" s="243">
        <f>+F597+F598</f>
        <v>71736155</v>
      </c>
      <c r="H598" s="245"/>
      <c r="I598" s="243">
        <f t="shared" ref="I598" si="26">+H597+H598</f>
        <v>0</v>
      </c>
      <c r="J598" s="245"/>
      <c r="K598" s="243">
        <f t="shared" ref="K598" si="27">+J597+J598</f>
        <v>0</v>
      </c>
      <c r="L598" s="245"/>
      <c r="M598" s="243">
        <f t="shared" ref="M598" si="28">+L597+L598</f>
        <v>0</v>
      </c>
      <c r="N598" s="245"/>
      <c r="O598" s="243">
        <f t="shared" ref="O598" si="29">+N597+N598</f>
        <v>0</v>
      </c>
      <c r="P598" s="245"/>
      <c r="Q598" s="243">
        <f t="shared" ref="Q598" si="30">+P597+P598</f>
        <v>0</v>
      </c>
      <c r="R598" s="245"/>
      <c r="S598" s="243">
        <f t="shared" ref="S598" si="31">+R597+R598</f>
        <v>0</v>
      </c>
      <c r="T598" s="245"/>
      <c r="U598" s="243">
        <f t="shared" ref="U598" si="32">+T597+T598</f>
        <v>0</v>
      </c>
      <c r="V598" s="245"/>
      <c r="W598" s="243">
        <f t="shared" ref="W598" si="33">+V597+V598</f>
        <v>0</v>
      </c>
      <c r="X598" s="245"/>
      <c r="Y598" s="243">
        <f t="shared" ref="Y598" si="34">+X597+X598</f>
        <v>0</v>
      </c>
      <c r="Z598" s="245"/>
      <c r="AA598" s="243">
        <f t="shared" ref="AA598" si="35">+Z597+Z598</f>
        <v>0</v>
      </c>
      <c r="AB598" s="245"/>
      <c r="AC598" s="243">
        <f t="shared" ref="AC598" si="36">+AB597+AB598</f>
        <v>0</v>
      </c>
      <c r="AD598" s="245"/>
      <c r="AE598" s="243">
        <f t="shared" ref="AE598" si="37">+AD597+AD598</f>
        <v>0</v>
      </c>
      <c r="AF598" s="245"/>
      <c r="AG598" s="243">
        <f t="shared" ref="AG598" si="38">+AF597+AF598</f>
        <v>0</v>
      </c>
      <c r="AH598" s="245"/>
      <c r="AI598" s="243">
        <f t="shared" ref="AI598" si="39">+AH597+AH598</f>
        <v>0</v>
      </c>
    </row>
    <row r="599" spans="2:35">
      <c r="B599" s="422" t="s">
        <v>220</v>
      </c>
      <c r="C599" s="244"/>
      <c r="D599" s="237"/>
      <c r="E599" s="243">
        <f>G599+I599+K599+M599+O599+Q599+S599+U599+W599+Y599+AA599+AC599+AE599+AG599+AI599</f>
        <v>0</v>
      </c>
      <c r="F599" s="244"/>
      <c r="G599" s="243">
        <v>0</v>
      </c>
      <c r="H599" s="244"/>
      <c r="I599" s="243">
        <v>0</v>
      </c>
      <c r="J599" s="244"/>
      <c r="K599" s="243">
        <v>0</v>
      </c>
      <c r="L599" s="244"/>
      <c r="M599" s="243">
        <v>0</v>
      </c>
      <c r="N599" s="244"/>
      <c r="O599" s="243">
        <v>0</v>
      </c>
      <c r="P599" s="244"/>
      <c r="Q599" s="243">
        <v>0</v>
      </c>
      <c r="R599" s="244"/>
      <c r="S599" s="243">
        <v>0</v>
      </c>
      <c r="T599" s="244"/>
      <c r="U599" s="243">
        <v>0</v>
      </c>
      <c r="V599" s="341"/>
      <c r="W599" s="243">
        <v>0</v>
      </c>
      <c r="X599" s="244"/>
      <c r="Y599" s="243">
        <v>0</v>
      </c>
      <c r="Z599" s="244"/>
      <c r="AA599" s="243">
        <v>0</v>
      </c>
      <c r="AB599" s="244"/>
      <c r="AC599" s="243">
        <v>0</v>
      </c>
      <c r="AD599" s="244"/>
      <c r="AE599" s="243">
        <v>0</v>
      </c>
      <c r="AF599" s="244"/>
      <c r="AG599" s="243">
        <v>0</v>
      </c>
      <c r="AH599" s="244"/>
      <c r="AI599" s="243">
        <v>0</v>
      </c>
    </row>
    <row r="600" spans="2:35" ht="32.25">
      <c r="B600" s="327" t="s">
        <v>219</v>
      </c>
      <c r="C600" s="244"/>
      <c r="D600" s="237"/>
      <c r="E600" s="243">
        <f>G600+I600+K600+M600+O600+Q600+S600+U600+W600+Y600+AA600+AC600+AE600+AG600+AI600</f>
        <v>0</v>
      </c>
      <c r="F600" s="244"/>
      <c r="G600" s="243"/>
      <c r="H600" s="244"/>
      <c r="I600" s="243">
        <v>0</v>
      </c>
      <c r="J600" s="244"/>
      <c r="K600" s="243">
        <v>0</v>
      </c>
      <c r="L600" s="244"/>
      <c r="M600" s="243">
        <v>0</v>
      </c>
      <c r="N600" s="244"/>
      <c r="O600" s="243">
        <v>0</v>
      </c>
      <c r="P600" s="244"/>
      <c r="Q600" s="243">
        <v>0</v>
      </c>
      <c r="R600" s="244"/>
      <c r="S600" s="243">
        <v>0</v>
      </c>
      <c r="T600" s="244"/>
      <c r="U600" s="243">
        <v>0</v>
      </c>
      <c r="V600" s="341"/>
      <c r="W600" s="243">
        <v>0</v>
      </c>
      <c r="X600" s="244"/>
      <c r="Y600" s="243"/>
      <c r="Z600" s="244"/>
      <c r="AA600" s="243">
        <v>0</v>
      </c>
      <c r="AB600" s="244"/>
      <c r="AC600" s="243">
        <v>0</v>
      </c>
      <c r="AD600" s="244"/>
      <c r="AE600" s="243">
        <v>0</v>
      </c>
      <c r="AF600" s="244"/>
      <c r="AG600" s="243">
        <v>0</v>
      </c>
      <c r="AH600" s="244"/>
      <c r="AI600" s="243">
        <v>0</v>
      </c>
    </row>
    <row r="601" spans="2:35">
      <c r="B601" s="327" t="s">
        <v>408</v>
      </c>
      <c r="C601" s="244"/>
      <c r="D601" s="237">
        <f t="shared" ref="D601:D605" si="40">F601+H601+J601+L601+N601+P601+R601+T601+V601+X601+Z601+AB601+AD601+AF601+AH601</f>
        <v>5851990</v>
      </c>
      <c r="E601" s="243"/>
      <c r="F601" s="244">
        <v>960472</v>
      </c>
      <c r="G601" s="243"/>
      <c r="H601" s="244">
        <v>110329</v>
      </c>
      <c r="I601" s="243"/>
      <c r="J601" s="244">
        <v>148113</v>
      </c>
      <c r="K601" s="243"/>
      <c r="L601" s="244">
        <v>73228</v>
      </c>
      <c r="M601" s="243"/>
      <c r="N601" s="244"/>
      <c r="O601" s="243"/>
      <c r="P601" s="244">
        <v>340676</v>
      </c>
      <c r="Q601" s="243"/>
      <c r="R601" s="244">
        <v>84033</v>
      </c>
      <c r="S601" s="243"/>
      <c r="T601" s="244">
        <v>3139155</v>
      </c>
      <c r="U601" s="243"/>
      <c r="V601" s="341">
        <v>132744</v>
      </c>
      <c r="W601" s="243"/>
      <c r="X601" s="756">
        <v>167674</v>
      </c>
      <c r="Y601" s="243"/>
      <c r="Z601" s="244">
        <v>104549</v>
      </c>
      <c r="AA601" s="243"/>
      <c r="AB601" s="244"/>
      <c r="AC601" s="243"/>
      <c r="AD601" s="244">
        <v>255663</v>
      </c>
      <c r="AE601" s="243"/>
      <c r="AF601" s="244">
        <v>186367</v>
      </c>
      <c r="AG601" s="243"/>
      <c r="AH601" s="244">
        <v>148987</v>
      </c>
      <c r="AI601" s="243"/>
    </row>
    <row r="602" spans="2:35">
      <c r="B602" s="327" t="s">
        <v>409</v>
      </c>
      <c r="C602" s="244"/>
      <c r="D602" s="237">
        <f t="shared" si="40"/>
        <v>87088741</v>
      </c>
      <c r="E602" s="243"/>
      <c r="F602" s="244">
        <v>10940969</v>
      </c>
      <c r="G602" s="243"/>
      <c r="H602" s="244">
        <v>892478</v>
      </c>
      <c r="I602" s="243"/>
      <c r="J602" s="244">
        <v>241585</v>
      </c>
      <c r="K602" s="243"/>
      <c r="L602" s="244">
        <v>302054</v>
      </c>
      <c r="M602" s="243"/>
      <c r="N602" s="244"/>
      <c r="O602" s="243"/>
      <c r="P602" s="244">
        <v>35310298</v>
      </c>
      <c r="Q602" s="243"/>
      <c r="R602" s="244">
        <v>7665575</v>
      </c>
      <c r="S602" s="243"/>
      <c r="T602" s="244">
        <v>7292454</v>
      </c>
      <c r="U602" s="243"/>
      <c r="V602" s="341">
        <v>2100696</v>
      </c>
      <c r="W602" s="243"/>
      <c r="X602" s="756">
        <v>29600</v>
      </c>
      <c r="Y602" s="243"/>
      <c r="Z602" s="244">
        <v>7311309</v>
      </c>
      <c r="AA602" s="243"/>
      <c r="AB602" s="244"/>
      <c r="AC602" s="243"/>
      <c r="AD602" s="244">
        <v>12289088</v>
      </c>
      <c r="AE602" s="243"/>
      <c r="AF602" s="244">
        <v>2712635</v>
      </c>
      <c r="AG602" s="243"/>
      <c r="AH602" s="244"/>
      <c r="AI602" s="243"/>
    </row>
    <row r="603" spans="2:35">
      <c r="B603" s="327" t="s">
        <v>410</v>
      </c>
      <c r="C603" s="244"/>
      <c r="D603" s="237">
        <f t="shared" si="40"/>
        <v>87375949</v>
      </c>
      <c r="E603" s="243"/>
      <c r="F603" s="237">
        <f>148699832-145848477</f>
        <v>2851355</v>
      </c>
      <c r="G603" s="243"/>
      <c r="H603" s="244">
        <v>311064</v>
      </c>
      <c r="I603" s="243"/>
      <c r="J603" s="237">
        <v>2019533</v>
      </c>
      <c r="K603" s="243"/>
      <c r="L603" s="244"/>
      <c r="M603" s="243"/>
      <c r="N603" s="244"/>
      <c r="O603" s="243"/>
      <c r="P603" s="244">
        <v>519596</v>
      </c>
      <c r="Q603" s="243"/>
      <c r="R603" s="244">
        <v>4139987</v>
      </c>
      <c r="S603" s="243"/>
      <c r="T603" s="244">
        <v>7170232</v>
      </c>
      <c r="U603" s="243"/>
      <c r="V603" s="341">
        <f>11094172+25286192</f>
        <v>36380364</v>
      </c>
      <c r="W603" s="243"/>
      <c r="X603" s="756"/>
      <c r="Y603" s="243"/>
      <c r="Z603" s="244">
        <v>20343171</v>
      </c>
      <c r="AA603" s="243"/>
      <c r="AB603" s="244"/>
      <c r="AC603" s="243"/>
      <c r="AD603" s="244">
        <v>1389991</v>
      </c>
      <c r="AE603" s="243"/>
      <c r="AF603" s="244">
        <v>12243066</v>
      </c>
      <c r="AG603" s="243"/>
      <c r="AH603" s="244">
        <v>7590</v>
      </c>
      <c r="AI603" s="243"/>
    </row>
    <row r="604" spans="2:35">
      <c r="B604" s="327" t="s">
        <v>983</v>
      </c>
      <c r="C604" s="244"/>
      <c r="D604" s="237">
        <f t="shared" si="40"/>
        <v>0</v>
      </c>
      <c r="E604" s="243"/>
      <c r="F604" s="237"/>
      <c r="G604" s="243"/>
      <c r="H604" s="237"/>
      <c r="I604" s="243"/>
      <c r="J604" s="237"/>
      <c r="K604" s="243"/>
      <c r="L604" s="237"/>
      <c r="M604" s="243"/>
      <c r="N604" s="237"/>
      <c r="O604" s="243"/>
      <c r="P604" s="237"/>
      <c r="Q604" s="243"/>
      <c r="R604" s="237"/>
      <c r="S604" s="243"/>
      <c r="T604" s="237"/>
      <c r="U604" s="243"/>
      <c r="V604" s="348"/>
      <c r="W604" s="243"/>
      <c r="X604" s="756"/>
      <c r="Y604" s="243"/>
      <c r="Z604" s="237"/>
      <c r="AA604" s="243"/>
      <c r="AB604" s="237"/>
      <c r="AC604" s="243"/>
      <c r="AD604" s="237"/>
      <c r="AE604" s="243"/>
      <c r="AF604" s="237"/>
      <c r="AG604" s="243"/>
      <c r="AH604" s="237"/>
      <c r="AI604" s="243"/>
    </row>
    <row r="605" spans="2:35" ht="12" thickBot="1">
      <c r="B605" s="327" t="s">
        <v>984</v>
      </c>
      <c r="C605" s="244"/>
      <c r="D605" s="245">
        <f t="shared" si="40"/>
        <v>0</v>
      </c>
      <c r="E605" s="243">
        <f>SUM(D601:D605)</f>
        <v>180316680</v>
      </c>
      <c r="F605" s="245"/>
      <c r="G605" s="243">
        <f>SUM(F601:F605)</f>
        <v>14752796</v>
      </c>
      <c r="H605" s="245"/>
      <c r="I605" s="243">
        <f>SUM(H601:H605)</f>
        <v>1313871</v>
      </c>
      <c r="J605" s="245"/>
      <c r="K605" s="243">
        <f>SUM(J601:J605)</f>
        <v>2409231</v>
      </c>
      <c r="L605" s="245"/>
      <c r="M605" s="243">
        <f>SUM(L601:L605)</f>
        <v>375282</v>
      </c>
      <c r="N605" s="245"/>
      <c r="O605" s="243">
        <f>SUM(N601:N605)</f>
        <v>0</v>
      </c>
      <c r="P605" s="245"/>
      <c r="Q605" s="243">
        <f>SUM(P601:P605)</f>
        <v>36170570</v>
      </c>
      <c r="R605" s="245"/>
      <c r="S605" s="243">
        <f>SUM(R601:R605)</f>
        <v>11889595</v>
      </c>
      <c r="T605" s="245"/>
      <c r="U605" s="243">
        <f>SUM(T601:T605)</f>
        <v>17601841</v>
      </c>
      <c r="V605" s="344"/>
      <c r="W605" s="243">
        <f>SUM(V601:V605)</f>
        <v>38613804</v>
      </c>
      <c r="X605" s="245"/>
      <c r="Y605" s="243">
        <f>SUM(X601:X605)</f>
        <v>197274</v>
      </c>
      <c r="Z605" s="245"/>
      <c r="AA605" s="243">
        <f>SUM(Z601:Z605)</f>
        <v>27759029</v>
      </c>
      <c r="AB605" s="245"/>
      <c r="AC605" s="243">
        <f>SUM(AB601:AB605)</f>
        <v>0</v>
      </c>
      <c r="AD605" s="245"/>
      <c r="AE605" s="243">
        <f>SUM(AD601:AD605)</f>
        <v>13934742</v>
      </c>
      <c r="AF605" s="245"/>
      <c r="AG605" s="243">
        <f>SUM(AF601:AF605)</f>
        <v>15142068</v>
      </c>
      <c r="AH605" s="245"/>
      <c r="AI605" s="243">
        <f>SUM(AH601:AH605)</f>
        <v>156577</v>
      </c>
    </row>
    <row r="606" spans="2:35">
      <c r="B606" s="327"/>
      <c r="C606" s="244"/>
      <c r="D606" s="237"/>
      <c r="E606" s="243"/>
      <c r="F606" s="237"/>
      <c r="G606" s="243"/>
      <c r="H606" s="237"/>
      <c r="I606" s="243"/>
      <c r="J606" s="237"/>
      <c r="K606" s="243"/>
      <c r="L606" s="237"/>
      <c r="M606" s="243"/>
      <c r="N606" s="237"/>
      <c r="O606" s="243"/>
      <c r="P606" s="237"/>
      <c r="Q606" s="243"/>
      <c r="R606" s="237"/>
      <c r="S606" s="243"/>
      <c r="T606" s="237"/>
      <c r="U606" s="243"/>
      <c r="V606" s="348"/>
      <c r="W606" s="243"/>
      <c r="X606" s="237"/>
      <c r="Y606" s="243"/>
      <c r="Z606" s="237"/>
      <c r="AA606" s="243"/>
      <c r="AB606" s="237"/>
      <c r="AC606" s="243"/>
      <c r="AD606" s="237"/>
      <c r="AE606" s="243"/>
      <c r="AF606" s="237"/>
      <c r="AG606" s="243"/>
      <c r="AH606" s="237"/>
      <c r="AI606" s="243"/>
    </row>
    <row r="607" spans="2:35" ht="12" thickBot="1">
      <c r="B607" s="667" t="s">
        <v>806</v>
      </c>
      <c r="C607" s="244"/>
      <c r="D607" s="237"/>
      <c r="E607" s="246">
        <f>SUM(E593:E606)</f>
        <v>1249911908</v>
      </c>
      <c r="F607" s="237"/>
      <c r="G607" s="246">
        <f>SUM(G593:G606)</f>
        <v>372958443</v>
      </c>
      <c r="H607" s="237"/>
      <c r="I607" s="246">
        <f>SUM(I593:I606)</f>
        <v>4423006</v>
      </c>
      <c r="J607" s="237"/>
      <c r="K607" s="246">
        <f>SUM(K593:K606)</f>
        <v>5526149</v>
      </c>
      <c r="L607" s="237"/>
      <c r="M607" s="246">
        <f>SUM(M593:M606)</f>
        <v>17170186</v>
      </c>
      <c r="N607" s="237"/>
      <c r="O607" s="246">
        <f>SUM(O593:O606)</f>
        <v>0</v>
      </c>
      <c r="P607" s="237"/>
      <c r="Q607" s="246">
        <f>SUM(Q593:Q606)</f>
        <v>51787928</v>
      </c>
      <c r="R607" s="237"/>
      <c r="S607" s="246">
        <f>SUM(S593:S606)</f>
        <v>12325430</v>
      </c>
      <c r="T607" s="237"/>
      <c r="U607" s="246">
        <f>SUM(U593:U606)</f>
        <v>623514530</v>
      </c>
      <c r="V607" s="348"/>
      <c r="W607" s="246">
        <f>SUM(W593:W606)</f>
        <v>43804344</v>
      </c>
      <c r="X607" s="237"/>
      <c r="Y607" s="246">
        <f>SUM(Y593:Y606)</f>
        <v>5779175</v>
      </c>
      <c r="Z607" s="237"/>
      <c r="AA607" s="246">
        <f>SUM(AA593:AA606)</f>
        <v>29490861</v>
      </c>
      <c r="AB607" s="237"/>
      <c r="AC607" s="246">
        <f>SUM(AC593:AC606)</f>
        <v>0</v>
      </c>
      <c r="AD607" s="237"/>
      <c r="AE607" s="246">
        <f>SUM(AE593:AE606)</f>
        <v>19520071</v>
      </c>
      <c r="AF607" s="237"/>
      <c r="AG607" s="246">
        <f>SUM(AG593:AG606)</f>
        <v>63258921</v>
      </c>
      <c r="AH607" s="237"/>
      <c r="AI607" s="246">
        <f>SUM(AI593:AI606)</f>
        <v>352864</v>
      </c>
    </row>
    <row r="608" spans="2:35" ht="12.75" thickTop="1" thickBot="1">
      <c r="B608" s="245"/>
      <c r="C608" s="248"/>
      <c r="D608" s="245"/>
      <c r="E608" s="247"/>
      <c r="F608" s="248"/>
      <c r="G608" s="247"/>
      <c r="H608" s="248"/>
      <c r="I608" s="247"/>
      <c r="J608" s="248"/>
      <c r="K608" s="247"/>
      <c r="L608" s="248"/>
      <c r="M608" s="247"/>
      <c r="N608" s="248"/>
      <c r="O608" s="247"/>
      <c r="P608" s="248"/>
      <c r="Q608" s="247"/>
      <c r="R608" s="248"/>
      <c r="S608" s="247"/>
      <c r="T608" s="248"/>
      <c r="U608" s="247"/>
      <c r="V608" s="384"/>
      <c r="W608" s="247"/>
      <c r="X608" s="248"/>
      <c r="Y608" s="247"/>
      <c r="Z608" s="248"/>
      <c r="AA608" s="247"/>
      <c r="AB608" s="248"/>
      <c r="AC608" s="247"/>
      <c r="AD608" s="248"/>
      <c r="AE608" s="247"/>
      <c r="AF608" s="248"/>
      <c r="AG608" s="247"/>
      <c r="AH608" s="248"/>
      <c r="AI608" s="247"/>
    </row>
    <row r="610" spans="2:35" ht="55.5" hidden="1" customHeight="1">
      <c r="B610" s="1475" t="s">
        <v>933</v>
      </c>
      <c r="C610" s="1475"/>
      <c r="D610" s="1475"/>
      <c r="E610" s="1475"/>
      <c r="F610" s="1475"/>
      <c r="G610" s="1475"/>
    </row>
    <row r="612" spans="2:35">
      <c r="B612" s="419" t="s">
        <v>554</v>
      </c>
    </row>
    <row r="613" spans="2:35" ht="12" thickBot="1">
      <c r="G613" s="335" t="s">
        <v>247</v>
      </c>
    </row>
    <row r="614" spans="2:35" ht="12" thickBot="1">
      <c r="B614" s="445"/>
      <c r="C614" s="250"/>
      <c r="D614" s="1463" t="s">
        <v>860</v>
      </c>
      <c r="E614" s="1464"/>
      <c r="F614" s="1463" t="s">
        <v>17</v>
      </c>
      <c r="G614" s="1464"/>
      <c r="H614" s="1463" t="s">
        <v>18</v>
      </c>
      <c r="I614" s="1464"/>
      <c r="J614" s="1463" t="s">
        <v>19</v>
      </c>
      <c r="K614" s="1464"/>
      <c r="L614" s="1463" t="s">
        <v>20</v>
      </c>
      <c r="M614" s="1464"/>
      <c r="N614" s="1463" t="s">
        <v>21</v>
      </c>
      <c r="O614" s="1464"/>
      <c r="P614" s="1463" t="s">
        <v>22</v>
      </c>
      <c r="Q614" s="1464"/>
      <c r="R614" s="1463" t="s">
        <v>23</v>
      </c>
      <c r="S614" s="1464"/>
      <c r="T614" s="1463" t="s">
        <v>24</v>
      </c>
      <c r="U614" s="1464"/>
      <c r="V614" s="1463" t="s">
        <v>25</v>
      </c>
      <c r="W614" s="1464"/>
      <c r="X614" s="1463" t="s">
        <v>26</v>
      </c>
      <c r="Y614" s="1464"/>
      <c r="Z614" s="1463" t="s">
        <v>27</v>
      </c>
      <c r="AA614" s="1464"/>
      <c r="AB614" s="1463"/>
      <c r="AC614" s="1464"/>
      <c r="AD614" s="1463" t="s">
        <v>1266</v>
      </c>
      <c r="AE614" s="1464"/>
      <c r="AF614" s="1463" t="s">
        <v>30</v>
      </c>
      <c r="AG614" s="1464"/>
      <c r="AH614" s="1463" t="s">
        <v>31</v>
      </c>
      <c r="AI614" s="1464"/>
    </row>
    <row r="615" spans="2:35">
      <c r="B615" s="351" t="s">
        <v>599</v>
      </c>
      <c r="C615" s="251"/>
      <c r="D615" s="249"/>
      <c r="E615" s="250">
        <f>G615+I615+K615+M615+O615+Q615+S615+U615+W615+Y615+AA615+AC615+AE615+AG615+AI615</f>
        <v>1222048456</v>
      </c>
      <c r="F615" s="251"/>
      <c r="G615" s="250"/>
      <c r="H615" s="251"/>
      <c r="I615" s="250"/>
      <c r="J615" s="251"/>
      <c r="K615" s="250"/>
      <c r="L615" s="251"/>
      <c r="M615" s="250"/>
      <c r="N615" s="251"/>
      <c r="O615" s="250"/>
      <c r="P615" s="251"/>
      <c r="Q615" s="250"/>
      <c r="R615" s="251"/>
      <c r="S615" s="250"/>
      <c r="T615" s="251"/>
      <c r="U615" s="250"/>
      <c r="V615" s="427"/>
      <c r="W615" s="250"/>
      <c r="X615" s="251"/>
      <c r="Y615" s="250"/>
      <c r="Z615" s="251"/>
      <c r="AA615" s="250"/>
      <c r="AB615" s="251"/>
      <c r="AC615" s="250"/>
      <c r="AD615" s="251"/>
      <c r="AE615" s="250">
        <v>1222048456</v>
      </c>
      <c r="AF615" s="251"/>
      <c r="AG615" s="250"/>
      <c r="AH615" s="251"/>
      <c r="AI615" s="250"/>
    </row>
    <row r="616" spans="2:35">
      <c r="B616" s="327" t="s">
        <v>600</v>
      </c>
      <c r="C616" s="244"/>
      <c r="D616" s="237"/>
      <c r="E616" s="243">
        <f>G616+I616+K616+M616+O616+Q616+S616+U616+W616+Y616+AA616+AC616+AE616+AG616+AI616</f>
        <v>0</v>
      </c>
      <c r="F616" s="244"/>
      <c r="G616" s="243"/>
      <c r="H616" s="244"/>
      <c r="I616" s="243"/>
      <c r="J616" s="244"/>
      <c r="K616" s="243"/>
      <c r="L616" s="244"/>
      <c r="M616" s="243"/>
      <c r="N616" s="244"/>
      <c r="O616" s="243"/>
      <c r="P616" s="244"/>
      <c r="Q616" s="243"/>
      <c r="R616" s="244"/>
      <c r="S616" s="243"/>
      <c r="T616" s="244"/>
      <c r="U616" s="243"/>
      <c r="V616" s="341"/>
      <c r="W616" s="243"/>
      <c r="X616" s="244"/>
      <c r="Y616" s="243"/>
      <c r="Z616" s="244"/>
      <c r="AA616" s="243"/>
      <c r="AB616" s="244"/>
      <c r="AC616" s="243"/>
      <c r="AD616" s="244"/>
      <c r="AE616" s="243"/>
      <c r="AF616" s="244"/>
      <c r="AG616" s="243"/>
      <c r="AH616" s="244"/>
      <c r="AI616" s="243"/>
    </row>
    <row r="617" spans="2:35">
      <c r="B617" s="327" t="s">
        <v>601</v>
      </c>
      <c r="C617" s="244"/>
      <c r="D617" s="237"/>
      <c r="E617" s="243">
        <f>G617+I617+K617+M617+O617+Q617+S617+U617+W617+Y617+AA617+AC617+AE617+AG617+AI617</f>
        <v>0</v>
      </c>
      <c r="F617" s="244"/>
      <c r="G617" s="243"/>
      <c r="H617" s="244"/>
      <c r="I617" s="243"/>
      <c r="J617" s="244"/>
      <c r="K617" s="243"/>
      <c r="L617" s="244"/>
      <c r="M617" s="243"/>
      <c r="N617" s="244"/>
      <c r="O617" s="243"/>
      <c r="P617" s="244"/>
      <c r="Q617" s="243"/>
      <c r="R617" s="244"/>
      <c r="S617" s="243"/>
      <c r="T617" s="244"/>
      <c r="U617" s="243"/>
      <c r="V617" s="341"/>
      <c r="W617" s="243"/>
      <c r="X617" s="244"/>
      <c r="Y617" s="243"/>
      <c r="Z617" s="244"/>
      <c r="AA617" s="243"/>
      <c r="AB617" s="244"/>
      <c r="AC617" s="243"/>
      <c r="AD617" s="244"/>
      <c r="AE617" s="243"/>
      <c r="AF617" s="244"/>
      <c r="AG617" s="243"/>
      <c r="AH617" s="244"/>
      <c r="AI617" s="243"/>
    </row>
    <row r="618" spans="2:35">
      <c r="B618" s="327" t="s">
        <v>602</v>
      </c>
      <c r="C618" s="244"/>
      <c r="D618" s="237"/>
      <c r="E618" s="243">
        <f>G618+I618+K618+M618+O618+Q618+S618+U618+W618+Y618+AA618+AC618+AE618+AG618+AI618</f>
        <v>0</v>
      </c>
      <c r="F618" s="244"/>
      <c r="G618" s="243"/>
      <c r="H618" s="244"/>
      <c r="I618" s="243"/>
      <c r="J618" s="244"/>
      <c r="K618" s="243"/>
      <c r="L618" s="244"/>
      <c r="M618" s="243"/>
      <c r="N618" s="244"/>
      <c r="O618" s="243"/>
      <c r="P618" s="244"/>
      <c r="Q618" s="243"/>
      <c r="R618" s="244"/>
      <c r="S618" s="243"/>
      <c r="T618" s="244"/>
      <c r="U618" s="243"/>
      <c r="V618" s="341"/>
      <c r="W618" s="243"/>
      <c r="X618" s="244"/>
      <c r="Y618" s="243"/>
      <c r="Z618" s="244"/>
      <c r="AA618" s="243"/>
      <c r="AB618" s="244"/>
      <c r="AC618" s="243"/>
      <c r="AD618" s="244"/>
      <c r="AE618" s="243"/>
      <c r="AF618" s="244"/>
      <c r="AG618" s="243"/>
      <c r="AH618" s="244"/>
      <c r="AI618" s="243"/>
    </row>
    <row r="619" spans="2:35">
      <c r="B619" s="327"/>
      <c r="C619" s="244"/>
      <c r="D619" s="237"/>
      <c r="E619" s="243"/>
      <c r="F619" s="244"/>
      <c r="G619" s="243"/>
      <c r="H619" s="244"/>
      <c r="I619" s="243"/>
      <c r="J619" s="244"/>
      <c r="K619" s="243"/>
      <c r="L619" s="244"/>
      <c r="M619" s="243"/>
      <c r="N619" s="244"/>
      <c r="O619" s="243"/>
      <c r="P619" s="244"/>
      <c r="Q619" s="243"/>
      <c r="R619" s="244"/>
      <c r="S619" s="243"/>
      <c r="T619" s="244"/>
      <c r="U619" s="243"/>
      <c r="V619" s="341"/>
      <c r="W619" s="243"/>
      <c r="X619" s="244"/>
      <c r="Y619" s="243"/>
      <c r="Z619" s="244"/>
      <c r="AA619" s="243"/>
      <c r="AB619" s="244"/>
      <c r="AC619" s="243"/>
      <c r="AD619" s="244"/>
      <c r="AE619" s="243"/>
      <c r="AF619" s="244"/>
      <c r="AG619" s="243"/>
      <c r="AH619" s="244"/>
      <c r="AI619" s="243"/>
    </row>
    <row r="620" spans="2:35" ht="12" thickBot="1">
      <c r="B620" s="327" t="s">
        <v>806</v>
      </c>
      <c r="C620" s="244"/>
      <c r="D620" s="237"/>
      <c r="E620" s="246">
        <f>SUM(E615:E619)</f>
        <v>1222048456</v>
      </c>
      <c r="F620" s="244"/>
      <c r="G620" s="246">
        <f>SUM(G615:G619)</f>
        <v>0</v>
      </c>
      <c r="H620" s="244"/>
      <c r="I620" s="246">
        <f>SUM(I615:I619)</f>
        <v>0</v>
      </c>
      <c r="J620" s="244"/>
      <c r="K620" s="246">
        <f>SUM(K615:K619)</f>
        <v>0</v>
      </c>
      <c r="L620" s="244"/>
      <c r="M620" s="246">
        <f>SUM(M615:M619)</f>
        <v>0</v>
      </c>
      <c r="N620" s="244"/>
      <c r="O620" s="246">
        <f>SUM(O615:O619)</f>
        <v>0</v>
      </c>
      <c r="P620" s="244"/>
      <c r="Q620" s="246">
        <f>SUM(Q615:Q619)</f>
        <v>0</v>
      </c>
      <c r="R620" s="244"/>
      <c r="S620" s="246">
        <f>SUM(S615:S619)</f>
        <v>0</v>
      </c>
      <c r="T620" s="244"/>
      <c r="U620" s="246">
        <f>SUM(U615:U619)</f>
        <v>0</v>
      </c>
      <c r="V620" s="341"/>
      <c r="W620" s="246">
        <f>SUM(W615:W619)</f>
        <v>0</v>
      </c>
      <c r="X620" s="244"/>
      <c r="Y620" s="246">
        <f>SUM(Y615:Y619)</f>
        <v>0</v>
      </c>
      <c r="Z620" s="244"/>
      <c r="AA620" s="246">
        <f>SUM(AA615:AA619)</f>
        <v>0</v>
      </c>
      <c r="AB620" s="244"/>
      <c r="AC620" s="246">
        <f>SUM(AC615:AC619)</f>
        <v>0</v>
      </c>
      <c r="AD620" s="244"/>
      <c r="AE620" s="246">
        <f>SUM(AE615:AE619)</f>
        <v>1222048456</v>
      </c>
      <c r="AF620" s="244"/>
      <c r="AG620" s="246">
        <f>SUM(AG615:AG619)</f>
        <v>0</v>
      </c>
      <c r="AH620" s="244"/>
      <c r="AI620" s="246">
        <f>SUM(AI615:AI619)</f>
        <v>0</v>
      </c>
    </row>
    <row r="621" spans="2:35" ht="12.75" thickTop="1" thickBot="1">
      <c r="B621" s="245"/>
      <c r="C621" s="248"/>
      <c r="D621" s="245"/>
      <c r="E621" s="247"/>
      <c r="F621" s="248"/>
      <c r="G621" s="247"/>
      <c r="H621" s="248"/>
      <c r="I621" s="247"/>
      <c r="J621" s="248"/>
      <c r="K621" s="247"/>
      <c r="L621" s="248"/>
      <c r="M621" s="247"/>
      <c r="N621" s="248"/>
      <c r="O621" s="247"/>
      <c r="P621" s="248"/>
      <c r="Q621" s="247"/>
      <c r="R621" s="248"/>
      <c r="S621" s="247"/>
      <c r="T621" s="248"/>
      <c r="U621" s="247"/>
      <c r="V621" s="384"/>
      <c r="W621" s="247"/>
      <c r="X621" s="248"/>
      <c r="Y621" s="247"/>
      <c r="Z621" s="248"/>
      <c r="AA621" s="247"/>
      <c r="AB621" s="248"/>
      <c r="AC621" s="247"/>
      <c r="AD621" s="248"/>
      <c r="AE621" s="247"/>
      <c r="AF621" s="248"/>
      <c r="AG621" s="247"/>
      <c r="AH621" s="248"/>
      <c r="AI621" s="247"/>
    </row>
    <row r="623" spans="2:35">
      <c r="B623" s="419" t="s">
        <v>555</v>
      </c>
    </row>
    <row r="624" spans="2:35" ht="12.75" thickBot="1">
      <c r="B624" s="446"/>
      <c r="G624" s="335" t="s">
        <v>247</v>
      </c>
    </row>
    <row r="625" spans="2:35" ht="12" thickBot="1">
      <c r="B625" s="365" t="s">
        <v>604</v>
      </c>
      <c r="C625" s="274"/>
      <c r="D625" s="1473" t="s">
        <v>860</v>
      </c>
      <c r="E625" s="1474"/>
      <c r="F625" s="1473" t="s">
        <v>17</v>
      </c>
      <c r="G625" s="1474"/>
      <c r="H625" s="1473" t="s">
        <v>18</v>
      </c>
      <c r="I625" s="1474"/>
      <c r="J625" s="1473" t="s">
        <v>19</v>
      </c>
      <c r="K625" s="1474"/>
      <c r="L625" s="1473" t="s">
        <v>20</v>
      </c>
      <c r="M625" s="1474"/>
      <c r="N625" s="1473" t="s">
        <v>21</v>
      </c>
      <c r="O625" s="1474"/>
      <c r="P625" s="1473" t="s">
        <v>22</v>
      </c>
      <c r="Q625" s="1474"/>
      <c r="R625" s="1473" t="s">
        <v>23</v>
      </c>
      <c r="S625" s="1474"/>
      <c r="T625" s="1473" t="s">
        <v>24</v>
      </c>
      <c r="U625" s="1474"/>
      <c r="V625" s="1473" t="s">
        <v>25</v>
      </c>
      <c r="W625" s="1474"/>
      <c r="X625" s="1473" t="s">
        <v>26</v>
      </c>
      <c r="Y625" s="1474"/>
      <c r="Z625" s="1473" t="s">
        <v>27</v>
      </c>
      <c r="AA625" s="1474"/>
      <c r="AB625" s="1473"/>
      <c r="AC625" s="1474"/>
      <c r="AD625" s="1473" t="s">
        <v>1266</v>
      </c>
      <c r="AE625" s="1474"/>
      <c r="AF625" s="1473" t="s">
        <v>30</v>
      </c>
      <c r="AG625" s="1474"/>
      <c r="AH625" s="1473" t="s">
        <v>31</v>
      </c>
      <c r="AI625" s="1474"/>
    </row>
    <row r="626" spans="2:35" ht="12">
      <c r="B626" s="671" t="s">
        <v>498</v>
      </c>
      <c r="C626" s="251"/>
      <c r="D626" s="668"/>
      <c r="E626" s="669"/>
      <c r="F626" s="668"/>
      <c r="G626" s="670"/>
      <c r="H626" s="669"/>
      <c r="I626" s="670"/>
      <c r="J626" s="668"/>
      <c r="K626" s="669"/>
      <c r="L626" s="668"/>
      <c r="M626" s="670"/>
      <c r="N626" s="669"/>
      <c r="O626" s="669"/>
      <c r="P626" s="668"/>
      <c r="Q626" s="670"/>
      <c r="R626" s="669"/>
      <c r="S626" s="669"/>
      <c r="T626" s="668"/>
      <c r="U626" s="670"/>
      <c r="V626" s="669"/>
      <c r="W626" s="669"/>
      <c r="X626" s="668"/>
      <c r="Y626" s="670"/>
      <c r="Z626" s="669"/>
      <c r="AA626" s="669"/>
      <c r="AB626" s="668"/>
      <c r="AC626" s="670"/>
      <c r="AD626" s="668"/>
      <c r="AE626" s="670"/>
      <c r="AF626" s="669"/>
      <c r="AG626" s="669"/>
      <c r="AH626" s="668"/>
      <c r="AI626" s="670"/>
    </row>
    <row r="627" spans="2:35">
      <c r="B627" s="327" t="s">
        <v>605</v>
      </c>
      <c r="C627" s="244"/>
      <c r="D627" s="237">
        <f t="shared" ref="D627:D633" si="41">F627+H627+J627+L627+N627+P627+R627+T627+V627+X627+Z627+AB627+AD627+AF627+AH627</f>
        <v>45761215162</v>
      </c>
      <c r="E627" s="244"/>
      <c r="F627" s="237"/>
      <c r="G627" s="447"/>
      <c r="H627" s="244">
        <v>1929654264</v>
      </c>
      <c r="I627" s="243"/>
      <c r="J627" s="237">
        <v>3747928503</v>
      </c>
      <c r="K627" s="244"/>
      <c r="L627" s="237">
        <v>13108404639</v>
      </c>
      <c r="M627" s="243"/>
      <c r="N627" s="244"/>
      <c r="O627" s="244"/>
      <c r="P627" s="237">
        <v>5159536910</v>
      </c>
      <c r="Q627" s="243"/>
      <c r="R627" s="244"/>
      <c r="S627" s="244"/>
      <c r="T627" s="237"/>
      <c r="U627" s="243"/>
      <c r="V627" s="244">
        <v>7111982705</v>
      </c>
      <c r="W627" s="244"/>
      <c r="X627" s="348">
        <v>756021983</v>
      </c>
      <c r="Y627" s="243"/>
      <c r="Z627" s="244">
        <v>1986766703</v>
      </c>
      <c r="AA627" s="244"/>
      <c r="AB627" s="237"/>
      <c r="AC627" s="243"/>
      <c r="AD627" s="237">
        <v>8485652133</v>
      </c>
      <c r="AE627" s="243"/>
      <c r="AF627" s="341">
        <v>3475267322</v>
      </c>
      <c r="AG627" s="244"/>
      <c r="AH627" s="237"/>
      <c r="AI627" s="243"/>
    </row>
    <row r="628" spans="2:35">
      <c r="B628" s="327" t="s">
        <v>1238</v>
      </c>
      <c r="C628" s="244"/>
      <c r="D628" s="237">
        <f t="shared" si="41"/>
        <v>8999575504</v>
      </c>
      <c r="E628" s="244"/>
      <c r="F628" s="237"/>
      <c r="G628" s="243"/>
      <c r="H628" s="244">
        <v>46524029</v>
      </c>
      <c r="I628" s="243"/>
      <c r="J628" s="237"/>
      <c r="K628" s="244"/>
      <c r="L628" s="237">
        <v>161190106</v>
      </c>
      <c r="M628" s="243"/>
      <c r="N628" s="244"/>
      <c r="O628" s="244"/>
      <c r="P628" s="237">
        <v>290382336</v>
      </c>
      <c r="Q628" s="243"/>
      <c r="R628" s="244"/>
      <c r="S628" s="244"/>
      <c r="T628" s="237">
        <v>7406139127</v>
      </c>
      <c r="U628" s="243"/>
      <c r="V628" s="244">
        <v>198377280</v>
      </c>
      <c r="W628" s="244"/>
      <c r="X628" s="237"/>
      <c r="Y628" s="243"/>
      <c r="Z628" s="244"/>
      <c r="AA628" s="244"/>
      <c r="AB628" s="237"/>
      <c r="AC628" s="243"/>
      <c r="AD628" s="237">
        <v>92603896</v>
      </c>
      <c r="AE628" s="243"/>
      <c r="AF628" s="341">
        <v>804358730</v>
      </c>
      <c r="AG628" s="244"/>
      <c r="AH628" s="237"/>
      <c r="AI628" s="243"/>
    </row>
    <row r="629" spans="2:35">
      <c r="B629" s="327" t="s">
        <v>607</v>
      </c>
      <c r="C629" s="244"/>
      <c r="D629" s="237">
        <f t="shared" si="41"/>
        <v>79829773378</v>
      </c>
      <c r="E629" s="244"/>
      <c r="F629" s="237">
        <v>76754798139</v>
      </c>
      <c r="G629" s="447"/>
      <c r="H629" s="244">
        <v>2851666</v>
      </c>
      <c r="I629" s="243"/>
      <c r="J629" s="237"/>
      <c r="K629" s="244"/>
      <c r="L629" s="237"/>
      <c r="M629" s="243"/>
      <c r="N629" s="244"/>
      <c r="O629" s="244"/>
      <c r="P629" s="237">
        <v>2228111315</v>
      </c>
      <c r="Q629" s="243"/>
      <c r="R629" s="244"/>
      <c r="S629" s="244"/>
      <c r="T629" s="237">
        <v>3376472</v>
      </c>
      <c r="U629" s="243"/>
      <c r="V629" s="244">
        <v>230493414</v>
      </c>
      <c r="W629" s="244"/>
      <c r="X629" s="237"/>
      <c r="Y629" s="243"/>
      <c r="Z629" s="244"/>
      <c r="AA629" s="244"/>
      <c r="AB629" s="237"/>
      <c r="AC629" s="243"/>
      <c r="AD629" s="237"/>
      <c r="AE629" s="243"/>
      <c r="AF629" s="341">
        <v>610142372</v>
      </c>
      <c r="AG629" s="244"/>
      <c r="AH629" s="237"/>
      <c r="AI629" s="243"/>
    </row>
    <row r="630" spans="2:35">
      <c r="B630" s="327" t="s">
        <v>608</v>
      </c>
      <c r="C630" s="244"/>
      <c r="D630" s="237">
        <f t="shared" si="41"/>
        <v>15914181812</v>
      </c>
      <c r="E630" s="244"/>
      <c r="F630" s="237"/>
      <c r="G630" s="243"/>
      <c r="H630" s="244"/>
      <c r="I630" s="243"/>
      <c r="J630" s="237"/>
      <c r="K630" s="244"/>
      <c r="L630" s="237"/>
      <c r="M630" s="243"/>
      <c r="N630" s="244"/>
      <c r="O630" s="244"/>
      <c r="P630" s="237"/>
      <c r="Q630" s="243"/>
      <c r="R630" s="244"/>
      <c r="S630" s="244"/>
      <c r="T630" s="237">
        <v>1815527624</v>
      </c>
      <c r="U630" s="243"/>
      <c r="V630" s="244">
        <v>201926575</v>
      </c>
      <c r="W630" s="244"/>
      <c r="X630" s="237"/>
      <c r="Y630" s="243"/>
      <c r="Z630" s="244">
        <v>13896727613</v>
      </c>
      <c r="AA630" s="244"/>
      <c r="AB630" s="237"/>
      <c r="AC630" s="243"/>
      <c r="AD630" s="237"/>
      <c r="AE630" s="243"/>
      <c r="AF630" s="341"/>
      <c r="AG630" s="244"/>
      <c r="AH630" s="237"/>
      <c r="AI630" s="243"/>
    </row>
    <row r="631" spans="2:35">
      <c r="B631" s="327" t="s">
        <v>609</v>
      </c>
      <c r="C631" s="244"/>
      <c r="D631" s="237">
        <f t="shared" si="41"/>
        <v>2674070377</v>
      </c>
      <c r="E631" s="244"/>
      <c r="F631" s="237"/>
      <c r="G631" s="243"/>
      <c r="H631" s="244"/>
      <c r="I631" s="243"/>
      <c r="J631" s="237">
        <v>789156189</v>
      </c>
      <c r="K631" s="244"/>
      <c r="L631" s="237">
        <v>430903194</v>
      </c>
      <c r="M631" s="243"/>
      <c r="N631" s="244"/>
      <c r="O631" s="244"/>
      <c r="P631" s="237"/>
      <c r="Q631" s="243"/>
      <c r="R631" s="244"/>
      <c r="S631" s="244"/>
      <c r="T631" s="237"/>
      <c r="U631" s="243"/>
      <c r="V631" s="244"/>
      <c r="W631" s="244"/>
      <c r="X631" s="237"/>
      <c r="Y631" s="243"/>
      <c r="Z631" s="244">
        <v>1454010994</v>
      </c>
      <c r="AA631" s="244"/>
      <c r="AB631" s="237"/>
      <c r="AC631" s="243"/>
      <c r="AD631" s="237"/>
      <c r="AE631" s="243"/>
      <c r="AF631" s="341"/>
      <c r="AG631" s="244"/>
      <c r="AH631" s="237"/>
      <c r="AI631" s="243"/>
    </row>
    <row r="632" spans="2:35">
      <c r="B632" s="327" t="s">
        <v>1220</v>
      </c>
      <c r="C632" s="244"/>
      <c r="D632" s="237">
        <f t="shared" si="41"/>
        <v>15835333761</v>
      </c>
      <c r="E632" s="244"/>
      <c r="F632" s="237"/>
      <c r="G632" s="243"/>
      <c r="H632" s="244"/>
      <c r="I632" s="243"/>
      <c r="J632" s="237">
        <v>9641407608</v>
      </c>
      <c r="K632" s="244"/>
      <c r="L632" s="237"/>
      <c r="M632" s="243"/>
      <c r="N632" s="244"/>
      <c r="O632" s="244"/>
      <c r="P632" s="237"/>
      <c r="Q632" s="243"/>
      <c r="R632" s="244"/>
      <c r="S632" s="244"/>
      <c r="T632" s="237">
        <v>5556119486</v>
      </c>
      <c r="U632" s="243"/>
      <c r="V632" s="244"/>
      <c r="W632" s="244"/>
      <c r="X632" s="237"/>
      <c r="Y632" s="243"/>
      <c r="Z632" s="244"/>
      <c r="AA632" s="244"/>
      <c r="AB632" s="237"/>
      <c r="AC632" s="243"/>
      <c r="AD632" s="237"/>
      <c r="AE632" s="243"/>
      <c r="AF632" s="341">
        <v>637806667</v>
      </c>
      <c r="AG632" s="244"/>
      <c r="AH632" s="237"/>
      <c r="AI632" s="243"/>
    </row>
    <row r="633" spans="2:35" ht="12" thickBot="1">
      <c r="B633" s="327" t="s">
        <v>611</v>
      </c>
      <c r="C633" s="244"/>
      <c r="D633" s="245">
        <f t="shared" si="41"/>
        <v>839033764</v>
      </c>
      <c r="E633" s="244">
        <f>SUM(D627:D633)</f>
        <v>169853183758</v>
      </c>
      <c r="F633" s="245"/>
      <c r="G633" s="243">
        <f>SUM(F627:F633)</f>
        <v>76754798139</v>
      </c>
      <c r="H633" s="245"/>
      <c r="I633" s="243">
        <f>SUM(H627:H633)</f>
        <v>1979029959</v>
      </c>
      <c r="J633" s="245"/>
      <c r="K633" s="244">
        <f>SUM(J627:J633)</f>
        <v>14178492300</v>
      </c>
      <c r="L633" s="245"/>
      <c r="M633" s="243">
        <f>SUM(L627:L633)</f>
        <v>13700497939</v>
      </c>
      <c r="N633" s="245"/>
      <c r="O633" s="244">
        <f>SUM(N627:N633)</f>
        <v>0</v>
      </c>
      <c r="P633" s="245"/>
      <c r="Q633" s="243">
        <f>SUM(P627:P633)</f>
        <v>7678030561</v>
      </c>
      <c r="R633" s="245"/>
      <c r="S633" s="244">
        <f>SUM(R627:R633)</f>
        <v>0</v>
      </c>
      <c r="T633" s="245"/>
      <c r="U633" s="243">
        <f>SUM(T627:T633)</f>
        <v>14781162709</v>
      </c>
      <c r="V633" s="245"/>
      <c r="W633" s="244">
        <f>SUM(V627:V633)</f>
        <v>7742779974</v>
      </c>
      <c r="X633" s="245"/>
      <c r="Y633" s="243">
        <f>SUM(X627:X633)</f>
        <v>756021983</v>
      </c>
      <c r="Z633" s="245"/>
      <c r="AA633" s="244">
        <f>SUM(Z627:Z633)</f>
        <v>17337505310</v>
      </c>
      <c r="AB633" s="245"/>
      <c r="AC633" s="243">
        <f>SUM(AB627:AB633)</f>
        <v>0</v>
      </c>
      <c r="AD633" s="245"/>
      <c r="AE633" s="243">
        <f>SUM(AD627:AD633)</f>
        <v>8578256029</v>
      </c>
      <c r="AF633" s="245">
        <v>839033764</v>
      </c>
      <c r="AG633" s="244">
        <f>SUM(AF627:AF633)</f>
        <v>6366608855</v>
      </c>
      <c r="AH633" s="245"/>
      <c r="AI633" s="243">
        <f>SUM(AH627:AH633)</f>
        <v>0</v>
      </c>
    </row>
    <row r="634" spans="2:35">
      <c r="B634" s="327"/>
      <c r="C634" s="244"/>
      <c r="D634" s="237"/>
      <c r="E634" s="244"/>
      <c r="F634" s="237"/>
      <c r="G634" s="243"/>
      <c r="H634" s="244"/>
      <c r="I634" s="243"/>
      <c r="J634" s="237"/>
      <c r="K634" s="244"/>
      <c r="L634" s="237"/>
      <c r="M634" s="243"/>
      <c r="N634" s="244"/>
      <c r="O634" s="244"/>
      <c r="P634" s="237"/>
      <c r="Q634" s="243"/>
      <c r="R634" s="244"/>
      <c r="S634" s="244"/>
      <c r="T634" s="237"/>
      <c r="U634" s="243"/>
      <c r="V634" s="341"/>
      <c r="W634" s="244"/>
      <c r="X634" s="237"/>
      <c r="Y634" s="243"/>
      <c r="Z634" s="244"/>
      <c r="AA634" s="244"/>
      <c r="AB634" s="237"/>
      <c r="AC634" s="243"/>
      <c r="AD634" s="237"/>
      <c r="AE634" s="243"/>
      <c r="AF634" s="341"/>
      <c r="AG634" s="244"/>
      <c r="AH634" s="237"/>
      <c r="AI634" s="243"/>
    </row>
    <row r="635" spans="2:35">
      <c r="B635" s="673" t="s">
        <v>986</v>
      </c>
      <c r="C635" s="244"/>
      <c r="D635" s="237"/>
      <c r="E635" s="244"/>
      <c r="F635" s="237"/>
      <c r="G635" s="297"/>
      <c r="H635" s="244"/>
      <c r="I635" s="243"/>
      <c r="J635" s="237"/>
      <c r="K635" s="244"/>
      <c r="L635" s="237"/>
      <c r="M635" s="243"/>
      <c r="N635" s="244"/>
      <c r="O635" s="244"/>
      <c r="P635" s="237"/>
      <c r="Q635" s="243"/>
      <c r="R635" s="244"/>
      <c r="S635" s="244"/>
      <c r="T635" s="237"/>
      <c r="U635" s="243"/>
      <c r="V635" s="341"/>
      <c r="W635" s="244"/>
      <c r="X635" s="237"/>
      <c r="Y635" s="243"/>
      <c r="Z635" s="244"/>
      <c r="AA635" s="244"/>
      <c r="AB635" s="237"/>
      <c r="AC635" s="243"/>
      <c r="AD635" s="237"/>
      <c r="AE635" s="243"/>
      <c r="AF635" s="341"/>
      <c r="AG635" s="244"/>
      <c r="AH635" s="237"/>
      <c r="AI635" s="243"/>
    </row>
    <row r="636" spans="2:35">
      <c r="B636" s="327" t="s">
        <v>605</v>
      </c>
      <c r="C636" s="244"/>
      <c r="D636" s="237">
        <f t="shared" ref="D636:D642" si="42">F636+H636+J636+L636+N636+P636+R636+T636+V636+X636+Z636+AB636+AD636+AF636+AH636</f>
        <v>543861082</v>
      </c>
      <c r="E636" s="244"/>
      <c r="F636" s="237"/>
      <c r="G636" s="447"/>
      <c r="H636" s="244">
        <v>30792592</v>
      </c>
      <c r="I636" s="243"/>
      <c r="J636" s="237">
        <v>91402515</v>
      </c>
      <c r="K636" s="244"/>
      <c r="L636" s="237">
        <v>40540930</v>
      </c>
      <c r="M636" s="243"/>
      <c r="N636" s="244"/>
      <c r="O636" s="244"/>
      <c r="P636" s="237">
        <v>89735442</v>
      </c>
      <c r="Q636" s="243"/>
      <c r="R636" s="244">
        <v>9099224</v>
      </c>
      <c r="S636" s="244"/>
      <c r="T636" s="237">
        <v>7242940</v>
      </c>
      <c r="U636" s="243"/>
      <c r="V636" s="341">
        <v>96558427</v>
      </c>
      <c r="W636" s="244"/>
      <c r="X636" s="237">
        <v>8298548</v>
      </c>
      <c r="Y636" s="243"/>
      <c r="Z636" s="244">
        <v>29178611</v>
      </c>
      <c r="AA636" s="244"/>
      <c r="AB636" s="237"/>
      <c r="AC636" s="243"/>
      <c r="AD636" s="237">
        <v>56972530</v>
      </c>
      <c r="AE636" s="243"/>
      <c r="AF636" s="341">
        <v>83937169</v>
      </c>
      <c r="AG636" s="244"/>
      <c r="AH636" s="237">
        <v>102154</v>
      </c>
      <c r="AI636" s="243"/>
    </row>
    <row r="637" spans="2:35">
      <c r="B637" s="327" t="s">
        <v>1238</v>
      </c>
      <c r="C637" s="244"/>
      <c r="D637" s="237">
        <f t="shared" si="42"/>
        <v>81268563</v>
      </c>
      <c r="E637" s="244"/>
      <c r="F637" s="237"/>
      <c r="G637" s="243"/>
      <c r="H637" s="244">
        <v>1893839</v>
      </c>
      <c r="I637" s="243"/>
      <c r="J637" s="237">
        <v>3338934</v>
      </c>
      <c r="K637" s="244"/>
      <c r="L637" s="237">
        <v>42505024</v>
      </c>
      <c r="M637" s="243"/>
      <c r="N637" s="244"/>
      <c r="O637" s="244"/>
      <c r="P637" s="237"/>
      <c r="Q637" s="243"/>
      <c r="R637" s="244"/>
      <c r="S637" s="244"/>
      <c r="T637" s="237"/>
      <c r="U637" s="243"/>
      <c r="V637" s="341">
        <v>23578509</v>
      </c>
      <c r="W637" s="244"/>
      <c r="X637" s="237">
        <v>9952257</v>
      </c>
      <c r="Y637" s="243"/>
      <c r="Z637" s="244"/>
      <c r="AA637" s="244"/>
      <c r="AB637" s="237"/>
      <c r="AC637" s="243"/>
      <c r="AD637" s="237"/>
      <c r="AE637" s="243"/>
      <c r="AF637" s="341"/>
      <c r="AG637" s="244"/>
      <c r="AH637" s="237"/>
      <c r="AI637" s="243"/>
    </row>
    <row r="638" spans="2:35">
      <c r="B638" s="327" t="s">
        <v>607</v>
      </c>
      <c r="C638" s="244"/>
      <c r="D638" s="237">
        <f t="shared" si="42"/>
        <v>0</v>
      </c>
      <c r="E638" s="244"/>
      <c r="F638" s="237"/>
      <c r="G638" s="447"/>
      <c r="H638" s="244"/>
      <c r="I638" s="243"/>
      <c r="J638" s="237"/>
      <c r="K638" s="244"/>
      <c r="L638" s="237"/>
      <c r="M638" s="243"/>
      <c r="N638" s="244"/>
      <c r="O638" s="244"/>
      <c r="P638" s="237"/>
      <c r="Q638" s="243"/>
      <c r="R638" s="244"/>
      <c r="S638" s="244"/>
      <c r="T638" s="237"/>
      <c r="U638" s="243"/>
      <c r="V638" s="341"/>
      <c r="W638" s="244"/>
      <c r="X638" s="237"/>
      <c r="Y638" s="243"/>
      <c r="Z638" s="244"/>
      <c r="AA638" s="244"/>
      <c r="AB638" s="237"/>
      <c r="AC638" s="243"/>
      <c r="AD638" s="237"/>
      <c r="AE638" s="243"/>
      <c r="AF638" s="341"/>
      <c r="AG638" s="244"/>
      <c r="AH638" s="237"/>
      <c r="AI638" s="243"/>
    </row>
    <row r="639" spans="2:35">
      <c r="B639" s="327" t="s">
        <v>608</v>
      </c>
      <c r="C639" s="244"/>
      <c r="D639" s="237">
        <f t="shared" si="42"/>
        <v>0</v>
      </c>
      <c r="E639" s="244"/>
      <c r="F639" s="237"/>
      <c r="G639" s="243"/>
      <c r="H639" s="244"/>
      <c r="I639" s="243"/>
      <c r="J639" s="237"/>
      <c r="K639" s="244"/>
      <c r="L639" s="237"/>
      <c r="M639" s="243"/>
      <c r="N639" s="244"/>
      <c r="O639" s="244"/>
      <c r="P639" s="237"/>
      <c r="Q639" s="243"/>
      <c r="R639" s="244"/>
      <c r="S639" s="244"/>
      <c r="T639" s="237"/>
      <c r="U639" s="243"/>
      <c r="V639" s="341"/>
      <c r="W639" s="244"/>
      <c r="X639" s="237"/>
      <c r="Y639" s="243"/>
      <c r="Z639" s="244"/>
      <c r="AA639" s="244"/>
      <c r="AB639" s="237"/>
      <c r="AC639" s="243"/>
      <c r="AD639" s="237"/>
      <c r="AE639" s="243"/>
      <c r="AF639" s="341"/>
      <c r="AG639" s="244"/>
      <c r="AH639" s="237"/>
      <c r="AI639" s="243"/>
    </row>
    <row r="640" spans="2:35">
      <c r="B640" s="327" t="s">
        <v>609</v>
      </c>
      <c r="C640" s="244"/>
      <c r="D640" s="237">
        <f t="shared" si="42"/>
        <v>0</v>
      </c>
      <c r="E640" s="244"/>
      <c r="F640" s="237"/>
      <c r="G640" s="243"/>
      <c r="H640" s="244"/>
      <c r="I640" s="243"/>
      <c r="J640" s="237"/>
      <c r="K640" s="244"/>
      <c r="L640" s="237"/>
      <c r="M640" s="243"/>
      <c r="N640" s="244"/>
      <c r="O640" s="244"/>
      <c r="P640" s="237"/>
      <c r="Q640" s="243"/>
      <c r="R640" s="244"/>
      <c r="S640" s="244"/>
      <c r="T640" s="237"/>
      <c r="U640" s="243"/>
      <c r="V640" s="341"/>
      <c r="W640" s="244"/>
      <c r="X640" s="237"/>
      <c r="Y640" s="243"/>
      <c r="Z640" s="244"/>
      <c r="AA640" s="244"/>
      <c r="AB640" s="237"/>
      <c r="AC640" s="243"/>
      <c r="AD640" s="237"/>
      <c r="AE640" s="243"/>
      <c r="AF640" s="341"/>
      <c r="AG640" s="244"/>
      <c r="AH640" s="237"/>
      <c r="AI640" s="243"/>
    </row>
    <row r="641" spans="1:35">
      <c r="B641" s="327" t="s">
        <v>1220</v>
      </c>
      <c r="C641" s="244"/>
      <c r="D641" s="237">
        <f t="shared" si="42"/>
        <v>0</v>
      </c>
      <c r="E641" s="244"/>
      <c r="F641" s="237"/>
      <c r="G641" s="243"/>
      <c r="H641" s="244"/>
      <c r="I641" s="243"/>
      <c r="J641" s="237"/>
      <c r="K641" s="244"/>
      <c r="L641" s="237"/>
      <c r="M641" s="243"/>
      <c r="N641" s="244"/>
      <c r="O641" s="244"/>
      <c r="P641" s="237"/>
      <c r="Q641" s="243"/>
      <c r="R641" s="244"/>
      <c r="S641" s="244"/>
      <c r="T641" s="237"/>
      <c r="U641" s="243"/>
      <c r="V641" s="341"/>
      <c r="W641" s="244"/>
      <c r="X641" s="237"/>
      <c r="Y641" s="243"/>
      <c r="Z641" s="244"/>
      <c r="AA641" s="244"/>
      <c r="AB641" s="237"/>
      <c r="AC641" s="243"/>
      <c r="AD641" s="237"/>
      <c r="AE641" s="243"/>
      <c r="AF641" s="341"/>
      <c r="AG641" s="244"/>
      <c r="AH641" s="237"/>
      <c r="AI641" s="243"/>
    </row>
    <row r="642" spans="1:35" ht="12" thickBot="1">
      <c r="B642" s="327" t="s">
        <v>611</v>
      </c>
      <c r="C642" s="244"/>
      <c r="D642" s="245">
        <f t="shared" si="42"/>
        <v>0</v>
      </c>
      <c r="E642" s="244">
        <f>SUM(D636:D642)</f>
        <v>625129645</v>
      </c>
      <c r="F642" s="245"/>
      <c r="G642" s="243">
        <f>SUM(F636:F642)</f>
        <v>0</v>
      </c>
      <c r="H642" s="245"/>
      <c r="I642" s="243">
        <f>SUM(H636:H642)</f>
        <v>32686431</v>
      </c>
      <c r="J642" s="245"/>
      <c r="K642" s="243">
        <f>SUM(J636:J642)</f>
        <v>94741449</v>
      </c>
      <c r="L642" s="245"/>
      <c r="M642" s="243">
        <f>SUM(L636:L642)</f>
        <v>83045954</v>
      </c>
      <c r="N642" s="245"/>
      <c r="O642" s="243">
        <f>SUM(N636:N642)</f>
        <v>0</v>
      </c>
      <c r="P642" s="245"/>
      <c r="Q642" s="243">
        <f>SUM(P636:P642)</f>
        <v>89735442</v>
      </c>
      <c r="R642" s="245"/>
      <c r="S642" s="243">
        <f>SUM(R636:R642)</f>
        <v>9099224</v>
      </c>
      <c r="T642" s="245"/>
      <c r="U642" s="243">
        <f>SUM(T636:T642)</f>
        <v>7242940</v>
      </c>
      <c r="V642" s="245"/>
      <c r="W642" s="243">
        <f>SUM(V636:V642)</f>
        <v>120136936</v>
      </c>
      <c r="X642" s="245"/>
      <c r="Y642" s="243">
        <f>SUM(X636:X642)</f>
        <v>18250805</v>
      </c>
      <c r="Z642" s="245"/>
      <c r="AA642" s="244">
        <f>SUM(Z636:Z642)</f>
        <v>29178611</v>
      </c>
      <c r="AB642" s="248"/>
      <c r="AC642" s="243">
        <f>SUM(AB636:AB642)</f>
        <v>0</v>
      </c>
      <c r="AD642" s="245"/>
      <c r="AE642" s="243">
        <f>SUM(AD636:AD642)</f>
        <v>56972530</v>
      </c>
      <c r="AF642" s="245"/>
      <c r="AG642" s="243">
        <f>SUM(AF636:AF642)</f>
        <v>83937169</v>
      </c>
      <c r="AH642" s="245"/>
      <c r="AI642" s="243">
        <f>SUM(AH636:AH642)</f>
        <v>102154</v>
      </c>
    </row>
    <row r="643" spans="1:35">
      <c r="B643" s="327"/>
      <c r="C643" s="244"/>
      <c r="D643" s="237"/>
      <c r="E643" s="244"/>
      <c r="F643" s="237"/>
      <c r="G643" s="243"/>
      <c r="H643" s="244"/>
      <c r="I643" s="243"/>
      <c r="J643" s="237"/>
      <c r="K643" s="244"/>
      <c r="L643" s="237"/>
      <c r="M643" s="243"/>
      <c r="N643" s="244"/>
      <c r="O643" s="244"/>
      <c r="P643" s="237"/>
      <c r="Q643" s="243"/>
      <c r="R643" s="244"/>
      <c r="S643" s="244"/>
      <c r="T643" s="237"/>
      <c r="U643" s="243"/>
      <c r="V643" s="244"/>
      <c r="W643" s="244"/>
      <c r="X643" s="237"/>
      <c r="Y643" s="243"/>
      <c r="Z643" s="244"/>
      <c r="AA643" s="244"/>
      <c r="AB643" s="237"/>
      <c r="AC643" s="243"/>
      <c r="AD643" s="237"/>
      <c r="AE643" s="243"/>
      <c r="AF643" s="341"/>
      <c r="AG643" s="244"/>
      <c r="AH643" s="237"/>
      <c r="AI643" s="243"/>
    </row>
    <row r="644" spans="1:35">
      <c r="B644" s="672" t="s">
        <v>987</v>
      </c>
      <c r="C644" s="244"/>
      <c r="D644" s="237"/>
      <c r="E644" s="244"/>
      <c r="F644" s="237"/>
      <c r="G644" s="297"/>
      <c r="H644" s="244"/>
      <c r="I644" s="243"/>
      <c r="J644" s="237"/>
      <c r="K644" s="244"/>
      <c r="L644" s="237"/>
      <c r="M644" s="243"/>
      <c r="N644" s="244"/>
      <c r="O644" s="244"/>
      <c r="P644" s="237"/>
      <c r="Q644" s="243"/>
      <c r="R644" s="244"/>
      <c r="S644" s="244"/>
      <c r="T644" s="237"/>
      <c r="U644" s="243"/>
      <c r="V644" s="341"/>
      <c r="W644" s="244"/>
      <c r="X644" s="237"/>
      <c r="Y644" s="243"/>
      <c r="Z644" s="244"/>
      <c r="AA644" s="244"/>
      <c r="AB644" s="237"/>
      <c r="AC644" s="243"/>
      <c r="AD644" s="237"/>
      <c r="AE644" s="243"/>
      <c r="AF644" s="341"/>
      <c r="AG644" s="244"/>
      <c r="AH644" s="237"/>
      <c r="AI644" s="243"/>
    </row>
    <row r="645" spans="1:35">
      <c r="B645" s="327" t="s">
        <v>605</v>
      </c>
      <c r="C645" s="244"/>
      <c r="D645" s="237">
        <f t="shared" ref="D645:D651" si="43">F645+H645+J645+L645+N645+P645+R645+T645+V645+X645+Z645+AB645+AD645+AF645+AH645</f>
        <v>550411426</v>
      </c>
      <c r="E645" s="244"/>
      <c r="F645" s="237">
        <v>848349</v>
      </c>
      <c r="G645" s="447"/>
      <c r="H645" s="244">
        <v>34606960</v>
      </c>
      <c r="I645" s="243"/>
      <c r="J645" s="237">
        <v>3964088</v>
      </c>
      <c r="K645" s="244"/>
      <c r="L645" s="237">
        <f>7951718+37521</f>
        <v>7989239</v>
      </c>
      <c r="M645" s="243"/>
      <c r="N645" s="244"/>
      <c r="O645" s="244"/>
      <c r="P645" s="237">
        <v>7167475</v>
      </c>
      <c r="Q645" s="243"/>
      <c r="R645" s="244">
        <v>7885652</v>
      </c>
      <c r="S645" s="244"/>
      <c r="T645" s="237">
        <v>2370165</v>
      </c>
      <c r="U645" s="243"/>
      <c r="V645" s="341">
        <f>5190924+332803</f>
        <v>5523727</v>
      </c>
      <c r="W645" s="244"/>
      <c r="X645" s="237">
        <v>7362583</v>
      </c>
      <c r="Y645" s="243"/>
      <c r="Z645" s="244">
        <v>9047971</v>
      </c>
      <c r="AA645" s="244"/>
      <c r="AB645" s="237"/>
      <c r="AC645" s="243"/>
      <c r="AD645" s="237">
        <f>459889908+3535577</f>
        <v>463425485</v>
      </c>
      <c r="AE645" s="243"/>
      <c r="AF645" s="341">
        <v>117578</v>
      </c>
      <c r="AG645" s="244"/>
      <c r="AH645" s="237">
        <v>102154</v>
      </c>
      <c r="AI645" s="243"/>
    </row>
    <row r="646" spans="1:35">
      <c r="B646" s="327" t="s">
        <v>1238</v>
      </c>
      <c r="C646" s="244"/>
      <c r="D646" s="237">
        <f t="shared" si="43"/>
        <v>167348828</v>
      </c>
      <c r="E646" s="244"/>
      <c r="F646" s="237"/>
      <c r="G646" s="243"/>
      <c r="H646" s="244"/>
      <c r="I646" s="243"/>
      <c r="J646" s="237"/>
      <c r="K646" s="244"/>
      <c r="L646" s="237"/>
      <c r="M646" s="243"/>
      <c r="N646" s="244"/>
      <c r="O646" s="244"/>
      <c r="P646" s="237">
        <v>153785783</v>
      </c>
      <c r="Q646" s="243"/>
      <c r="R646" s="244">
        <v>100792</v>
      </c>
      <c r="S646" s="244"/>
      <c r="T646" s="237"/>
      <c r="U646" s="243"/>
      <c r="V646" s="341">
        <v>5288810</v>
      </c>
      <c r="W646" s="244"/>
      <c r="X646" s="237"/>
      <c r="Y646" s="243"/>
      <c r="Z646" s="244"/>
      <c r="AA646" s="244"/>
      <c r="AB646" s="237"/>
      <c r="AC646" s="243"/>
      <c r="AD646" s="237"/>
      <c r="AE646" s="243"/>
      <c r="AF646" s="341">
        <v>8173443</v>
      </c>
      <c r="AG646" s="244"/>
      <c r="AH646" s="237"/>
      <c r="AI646" s="243"/>
    </row>
    <row r="647" spans="1:35">
      <c r="B647" s="327" t="s">
        <v>607</v>
      </c>
      <c r="C647" s="244"/>
      <c r="D647" s="237">
        <f t="shared" si="43"/>
        <v>0</v>
      </c>
      <c r="E647" s="244"/>
      <c r="F647" s="237"/>
      <c r="G647" s="447"/>
      <c r="H647" s="244"/>
      <c r="I647" s="243"/>
      <c r="J647" s="237"/>
      <c r="K647" s="244"/>
      <c r="L647" s="237"/>
      <c r="M647" s="243"/>
      <c r="N647" s="244"/>
      <c r="O647" s="244"/>
      <c r="P647" s="237"/>
      <c r="Q647" s="243"/>
      <c r="R647" s="244"/>
      <c r="S647" s="244"/>
      <c r="T647" s="237"/>
      <c r="U647" s="243"/>
      <c r="V647" s="341"/>
      <c r="W647" s="244"/>
      <c r="X647" s="237"/>
      <c r="Y647" s="243"/>
      <c r="Z647" s="244"/>
      <c r="AA647" s="244"/>
      <c r="AB647" s="237"/>
      <c r="AC647" s="243"/>
      <c r="AD647" s="237"/>
      <c r="AE647" s="243"/>
      <c r="AF647" s="341"/>
      <c r="AG647" s="244"/>
      <c r="AH647" s="237"/>
      <c r="AI647" s="243"/>
    </row>
    <row r="648" spans="1:35">
      <c r="B648" s="327" t="s">
        <v>608</v>
      </c>
      <c r="C648" s="244"/>
      <c r="D648" s="237">
        <f t="shared" si="43"/>
        <v>0</v>
      </c>
      <c r="E648" s="244"/>
      <c r="F648" s="237"/>
      <c r="G648" s="243"/>
      <c r="H648" s="244"/>
      <c r="I648" s="243"/>
      <c r="J648" s="237"/>
      <c r="K648" s="244"/>
      <c r="L648" s="237"/>
      <c r="M648" s="243"/>
      <c r="N648" s="244"/>
      <c r="O648" s="244"/>
      <c r="P648" s="237"/>
      <c r="Q648" s="243"/>
      <c r="R648" s="244"/>
      <c r="S648" s="244"/>
      <c r="T648" s="237"/>
      <c r="U648" s="243"/>
      <c r="V648" s="341"/>
      <c r="W648" s="244"/>
      <c r="X648" s="237"/>
      <c r="Y648" s="243"/>
      <c r="Z648" s="244"/>
      <c r="AA648" s="244"/>
      <c r="AB648" s="237"/>
      <c r="AC648" s="243"/>
      <c r="AD648" s="237"/>
      <c r="AE648" s="243"/>
      <c r="AF648" s="341"/>
      <c r="AG648" s="244"/>
      <c r="AH648" s="237"/>
      <c r="AI648" s="243"/>
    </row>
    <row r="649" spans="1:35">
      <c r="B649" s="327" t="s">
        <v>609</v>
      </c>
      <c r="C649" s="244"/>
      <c r="D649" s="237">
        <f t="shared" si="43"/>
        <v>0</v>
      </c>
      <c r="E649" s="244"/>
      <c r="F649" s="237"/>
      <c r="G649" s="243"/>
      <c r="H649" s="244"/>
      <c r="I649" s="243"/>
      <c r="J649" s="237"/>
      <c r="K649" s="244"/>
      <c r="L649" s="237"/>
      <c r="M649" s="243"/>
      <c r="N649" s="244"/>
      <c r="O649" s="244"/>
      <c r="P649" s="237"/>
      <c r="Q649" s="243"/>
      <c r="R649" s="244"/>
      <c r="S649" s="244"/>
      <c r="T649" s="237"/>
      <c r="U649" s="243"/>
      <c r="V649" s="341"/>
      <c r="W649" s="244"/>
      <c r="X649" s="237"/>
      <c r="Y649" s="243"/>
      <c r="Z649" s="244"/>
      <c r="AA649" s="244"/>
      <c r="AB649" s="237"/>
      <c r="AC649" s="243"/>
      <c r="AD649" s="237"/>
      <c r="AE649" s="243"/>
      <c r="AF649" s="341"/>
      <c r="AG649" s="244"/>
      <c r="AH649" s="237"/>
      <c r="AI649" s="243"/>
    </row>
    <row r="650" spans="1:35">
      <c r="B650" s="327" t="s">
        <v>1220</v>
      </c>
      <c r="C650" s="244"/>
      <c r="D650" s="237">
        <f t="shared" si="43"/>
        <v>0</v>
      </c>
      <c r="E650" s="244"/>
      <c r="F650" s="237"/>
      <c r="G650" s="243"/>
      <c r="H650" s="244"/>
      <c r="I650" s="243"/>
      <c r="J650" s="237"/>
      <c r="K650" s="244"/>
      <c r="L650" s="237"/>
      <c r="M650" s="243"/>
      <c r="N650" s="244"/>
      <c r="O650" s="244"/>
      <c r="P650" s="237"/>
      <c r="Q650" s="243"/>
      <c r="R650" s="244"/>
      <c r="S650" s="244"/>
      <c r="T650" s="237"/>
      <c r="U650" s="243"/>
      <c r="V650" s="341"/>
      <c r="W650" s="244"/>
      <c r="X650" s="237"/>
      <c r="Y650" s="243"/>
      <c r="Z650" s="244"/>
      <c r="AA650" s="244"/>
      <c r="AB650" s="237"/>
      <c r="AC650" s="243"/>
      <c r="AD650" s="237"/>
      <c r="AE650" s="243"/>
      <c r="AF650" s="341"/>
      <c r="AG650" s="244"/>
      <c r="AH650" s="237"/>
      <c r="AI650" s="243"/>
    </row>
    <row r="651" spans="1:35" ht="12" thickBot="1">
      <c r="B651" s="327" t="s">
        <v>611</v>
      </c>
      <c r="C651" s="244"/>
      <c r="D651" s="245">
        <f t="shared" si="43"/>
        <v>0</v>
      </c>
      <c r="E651" s="449">
        <f>SUM(D645:D651)</f>
        <v>717760254</v>
      </c>
      <c r="F651" s="245"/>
      <c r="G651" s="449">
        <f>SUM(F645:F651)</f>
        <v>848349</v>
      </c>
      <c r="H651" s="245"/>
      <c r="I651" s="449">
        <f>SUM(H645:H651)</f>
        <v>34606960</v>
      </c>
      <c r="J651" s="245"/>
      <c r="K651" s="449">
        <f>SUM(J645:J651)</f>
        <v>3964088</v>
      </c>
      <c r="L651" s="245"/>
      <c r="M651" s="449">
        <f>SUM(L645:L651)</f>
        <v>7989239</v>
      </c>
      <c r="N651" s="245"/>
      <c r="O651" s="449">
        <f>SUM(N645:N651)</f>
        <v>0</v>
      </c>
      <c r="P651" s="245"/>
      <c r="Q651" s="449">
        <f>SUM(P645:P651)</f>
        <v>160953258</v>
      </c>
      <c r="R651" s="245"/>
      <c r="S651" s="449">
        <f>SUM(R645:R651)</f>
        <v>7986444</v>
      </c>
      <c r="T651" s="245"/>
      <c r="U651" s="449">
        <f>SUM(T645:T651)</f>
        <v>2370165</v>
      </c>
      <c r="V651" s="245"/>
      <c r="W651" s="449">
        <f>SUM(V645:V651)</f>
        <v>10812537</v>
      </c>
      <c r="X651" s="245"/>
      <c r="Y651" s="449">
        <f>SUM(X645:X651)</f>
        <v>7362583</v>
      </c>
      <c r="Z651" s="245"/>
      <c r="AA651" s="486">
        <f>SUM(Z645:Z651)</f>
        <v>9047971</v>
      </c>
      <c r="AB651" s="248"/>
      <c r="AC651" s="449">
        <f>SUM(AB645:AB651)</f>
        <v>0</v>
      </c>
      <c r="AD651" s="245"/>
      <c r="AE651" s="449">
        <f>SUM(AD645:AD651)</f>
        <v>463425485</v>
      </c>
      <c r="AF651" s="245"/>
      <c r="AG651" s="449">
        <f>SUM(AF645:AF651)</f>
        <v>8291021</v>
      </c>
      <c r="AH651" s="245"/>
      <c r="AI651" s="449">
        <f>SUM(AH645:AH651)</f>
        <v>102154</v>
      </c>
    </row>
    <row r="652" spans="1:35" ht="12" thickBot="1">
      <c r="B652" s="665" t="s">
        <v>806</v>
      </c>
      <c r="C652" s="248"/>
      <c r="D652" s="245"/>
      <c r="E652" s="248">
        <f>E633+E642-E651</f>
        <v>169760553149</v>
      </c>
      <c r="F652" s="245"/>
      <c r="G652" s="248">
        <f>G633+G642-G651</f>
        <v>76753949790</v>
      </c>
      <c r="H652" s="245"/>
      <c r="I652" s="819">
        <f>I633+I642-I651</f>
        <v>1977109430</v>
      </c>
      <c r="J652" s="245"/>
      <c r="K652" s="819">
        <f>K633+K642-K651</f>
        <v>14269269661</v>
      </c>
      <c r="L652" s="245"/>
      <c r="M652" s="819">
        <f>M633+M642-M651</f>
        <v>13775554654</v>
      </c>
      <c r="N652" s="245"/>
      <c r="O652" s="248">
        <f>O633+O642-O651</f>
        <v>0</v>
      </c>
      <c r="P652" s="245"/>
      <c r="Q652" s="248">
        <f>Q633+Q642-Q651</f>
        <v>7606812745</v>
      </c>
      <c r="R652" s="245"/>
      <c r="S652" s="819">
        <f>S633+S642-S651</f>
        <v>1112780</v>
      </c>
      <c r="T652" s="245"/>
      <c r="U652" s="819">
        <f>U633+U642-U651</f>
        <v>14786035484</v>
      </c>
      <c r="V652" s="757"/>
      <c r="W652" s="819">
        <f>W633+W642-W651</f>
        <v>7852104373</v>
      </c>
      <c r="X652" s="245"/>
      <c r="Y652" s="819">
        <f>Y633+Y642-Y651</f>
        <v>766910205</v>
      </c>
      <c r="Z652" s="757"/>
      <c r="AA652" s="819">
        <f>AA633+AA642-AA651</f>
        <v>17357635950</v>
      </c>
      <c r="AB652" s="245"/>
      <c r="AC652" s="248">
        <f>AC633+AC642-AC651</f>
        <v>0</v>
      </c>
      <c r="AD652" s="245"/>
      <c r="AE652" s="248">
        <f>AE633+AE642-AE651</f>
        <v>8171803074</v>
      </c>
      <c r="AF652" s="245"/>
      <c r="AG652" s="248">
        <f>AG633+AG642-AG651</f>
        <v>6442255003</v>
      </c>
      <c r="AH652" s="245"/>
      <c r="AI652" s="248">
        <f>AI633+AI642-AI651</f>
        <v>0</v>
      </c>
    </row>
    <row r="653" spans="1:35">
      <c r="B653" s="360"/>
      <c r="C653" s="244"/>
      <c r="D653" s="244"/>
      <c r="E653" s="244"/>
      <c r="F653" s="244"/>
      <c r="G653" s="244"/>
      <c r="H653" s="244"/>
      <c r="I653" s="244"/>
      <c r="J653" s="244"/>
      <c r="K653" s="244"/>
      <c r="L653" s="244"/>
      <c r="M653" s="244"/>
      <c r="N653" s="244"/>
      <c r="O653" s="244"/>
      <c r="P653" s="244"/>
      <c r="Q653" s="244"/>
      <c r="R653" s="244"/>
      <c r="S653" s="244"/>
      <c r="T653" s="244"/>
      <c r="U653" s="244"/>
      <c r="V653" s="244"/>
      <c r="W653" s="244"/>
      <c r="X653" s="244"/>
      <c r="Y653" s="244"/>
      <c r="Z653" s="244"/>
      <c r="AA653" s="244"/>
      <c r="AB653" s="244"/>
      <c r="AC653" s="244"/>
      <c r="AD653" s="244"/>
      <c r="AE653" s="244"/>
      <c r="AF653" s="244"/>
      <c r="AG653" s="244"/>
      <c r="AH653" s="244"/>
      <c r="AI653" s="244"/>
    </row>
    <row r="654" spans="1:35" hidden="1">
      <c r="B654" s="360"/>
      <c r="C654" s="244"/>
      <c r="D654" s="244"/>
      <c r="E654" s="244"/>
      <c r="F654" s="244"/>
      <c r="G654" s="244"/>
      <c r="H654" s="244"/>
      <c r="I654" s="244"/>
      <c r="J654" s="244"/>
      <c r="K654" s="244"/>
      <c r="L654" s="244"/>
      <c r="M654" s="244"/>
      <c r="N654" s="244"/>
      <c r="O654" s="244"/>
      <c r="P654" s="244"/>
      <c r="Q654" s="244"/>
      <c r="R654" s="244"/>
      <c r="S654" s="244"/>
      <c r="T654" s="244"/>
      <c r="U654" s="244"/>
      <c r="V654" s="244"/>
      <c r="W654" s="244"/>
      <c r="X654" s="244"/>
      <c r="Y654" s="244"/>
      <c r="Z654" s="244"/>
      <c r="AA654" s="244"/>
      <c r="AB654" s="244"/>
      <c r="AC654" s="244"/>
      <c r="AD654" s="244"/>
      <c r="AE654" s="244"/>
      <c r="AF654" s="244"/>
      <c r="AG654" s="244"/>
      <c r="AH654" s="244"/>
      <c r="AI654" s="244"/>
    </row>
    <row r="655" spans="1:35" hidden="1">
      <c r="K655" s="301" t="s">
        <v>483</v>
      </c>
    </row>
    <row r="656" spans="1:35" ht="14.25" customHeight="1">
      <c r="A656" s="674"/>
      <c r="B656" s="419" t="s">
        <v>556</v>
      </c>
    </row>
    <row r="657" spans="2:35" ht="12" thickBot="1">
      <c r="G657" s="335" t="s">
        <v>247</v>
      </c>
    </row>
    <row r="658" spans="2:35" ht="12" thickBot="1">
      <c r="B658" s="425"/>
      <c r="C658" s="274"/>
      <c r="D658" s="1463" t="s">
        <v>860</v>
      </c>
      <c r="E658" s="1464"/>
      <c r="F658" s="1463" t="s">
        <v>17</v>
      </c>
      <c r="G658" s="1464"/>
      <c r="H658" s="1463" t="s">
        <v>18</v>
      </c>
      <c r="I658" s="1464"/>
      <c r="J658" s="1463" t="s">
        <v>19</v>
      </c>
      <c r="K658" s="1464"/>
      <c r="L658" s="1463" t="s">
        <v>20</v>
      </c>
      <c r="M658" s="1464"/>
      <c r="N658" s="1463" t="s">
        <v>21</v>
      </c>
      <c r="O658" s="1464"/>
      <c r="P658" s="1463" t="s">
        <v>22</v>
      </c>
      <c r="Q658" s="1464"/>
      <c r="R658" s="1463" t="s">
        <v>23</v>
      </c>
      <c r="S658" s="1464"/>
      <c r="T658" s="1463" t="s">
        <v>24</v>
      </c>
      <c r="U658" s="1464"/>
      <c r="V658" s="1463" t="s">
        <v>25</v>
      </c>
      <c r="W658" s="1464"/>
      <c r="X658" s="1463" t="s">
        <v>26</v>
      </c>
      <c r="Y658" s="1464"/>
      <c r="Z658" s="1463" t="s">
        <v>27</v>
      </c>
      <c r="AA658" s="1464"/>
      <c r="AB658" s="1463"/>
      <c r="AC658" s="1464"/>
      <c r="AD658" s="1463" t="s">
        <v>1266</v>
      </c>
      <c r="AE658" s="1464"/>
      <c r="AF658" s="1463" t="s">
        <v>30</v>
      </c>
      <c r="AG658" s="1464"/>
      <c r="AH658" s="1463" t="s">
        <v>31</v>
      </c>
      <c r="AI658" s="1464"/>
    </row>
    <row r="659" spans="2:35">
      <c r="B659" s="390" t="s">
        <v>621</v>
      </c>
      <c r="C659" s="250"/>
      <c r="D659" s="249"/>
      <c r="E659" s="250"/>
      <c r="F659" s="237"/>
      <c r="G659" s="243"/>
      <c r="H659" s="237"/>
      <c r="I659" s="243"/>
      <c r="J659" s="237"/>
      <c r="K659" s="243"/>
      <c r="L659" s="237"/>
      <c r="M659" s="243"/>
      <c r="N659" s="237"/>
      <c r="O659" s="243"/>
      <c r="P659" s="237"/>
      <c r="Q659" s="243"/>
      <c r="R659" s="237"/>
      <c r="S659" s="243"/>
      <c r="T659" s="237"/>
      <c r="U659" s="243"/>
      <c r="V659" s="348"/>
      <c r="W659" s="243"/>
      <c r="X659" s="237"/>
      <c r="Y659" s="243"/>
      <c r="Z659" s="237"/>
      <c r="AA659" s="243"/>
      <c r="AB659" s="237"/>
      <c r="AC659" s="243"/>
      <c r="AD659" s="237"/>
      <c r="AE659" s="243"/>
      <c r="AF659" s="237"/>
      <c r="AG659" s="243"/>
      <c r="AH659" s="237"/>
      <c r="AI659" s="243"/>
    </row>
    <row r="660" spans="2:35">
      <c r="B660" s="345" t="s">
        <v>613</v>
      </c>
      <c r="C660" s="243"/>
      <c r="D660" s="237">
        <f>F660+H660+J660+L660+N660+P660+R660+T660+V660+X660+Z660+AB660+AD660+AF660+AH660</f>
        <v>886977780</v>
      </c>
      <c r="E660" s="243"/>
      <c r="F660" s="237"/>
      <c r="G660" s="243"/>
      <c r="H660" s="237"/>
      <c r="I660" s="243"/>
      <c r="J660" s="237"/>
      <c r="K660" s="243"/>
      <c r="L660" s="237"/>
      <c r="M660" s="243"/>
      <c r="N660" s="237"/>
      <c r="O660" s="243"/>
      <c r="P660" s="237"/>
      <c r="Q660" s="243"/>
      <c r="R660" s="237"/>
      <c r="S660" s="243"/>
      <c r="T660" s="237"/>
      <c r="U660" s="243"/>
      <c r="V660" s="348"/>
      <c r="W660" s="243"/>
      <c r="X660" s="237"/>
      <c r="Y660" s="243"/>
      <c r="Z660" s="237"/>
      <c r="AA660" s="243"/>
      <c r="AB660" s="237"/>
      <c r="AC660" s="243"/>
      <c r="AD660" s="237">
        <v>886977780</v>
      </c>
      <c r="AE660" s="243"/>
      <c r="AF660" s="237"/>
      <c r="AG660" s="243"/>
      <c r="AH660" s="237"/>
      <c r="AI660" s="243"/>
    </row>
    <row r="661" spans="2:35">
      <c r="B661" s="345" t="s">
        <v>614</v>
      </c>
      <c r="C661" s="243"/>
      <c r="D661" s="237">
        <f>F661+H661+J661+L661+N661+P661+R661+T661+V661+X661+Z661+AB661+AD661+AF661+AH661</f>
        <v>649910326</v>
      </c>
      <c r="E661" s="243"/>
      <c r="F661" s="253"/>
      <c r="G661" s="243"/>
      <c r="H661" s="237"/>
      <c r="I661" s="243"/>
      <c r="J661" s="237"/>
      <c r="K661" s="243"/>
      <c r="L661" s="237"/>
      <c r="M661" s="243"/>
      <c r="N661" s="237"/>
      <c r="O661" s="243"/>
      <c r="P661" s="237"/>
      <c r="Q661" s="243"/>
      <c r="R661" s="237"/>
      <c r="S661" s="243"/>
      <c r="T661" s="237"/>
      <c r="U661" s="243"/>
      <c r="V661" s="348"/>
      <c r="W661" s="243"/>
      <c r="X661" s="237"/>
      <c r="Y661" s="243"/>
      <c r="Z661" s="237"/>
      <c r="AA661" s="243"/>
      <c r="AB661" s="237"/>
      <c r="AC661" s="243"/>
      <c r="AD661" s="237">
        <v>649910326</v>
      </c>
      <c r="AE661" s="243"/>
      <c r="AF661" s="237"/>
      <c r="AG661" s="243"/>
      <c r="AH661" s="237"/>
      <c r="AI661" s="243"/>
    </row>
    <row r="662" spans="2:35" ht="12" thickBot="1">
      <c r="B662" s="345" t="s">
        <v>615</v>
      </c>
      <c r="C662" s="243"/>
      <c r="D662" s="245"/>
      <c r="E662" s="243">
        <f>+D660-D661</f>
        <v>237067454</v>
      </c>
      <c r="F662" s="245"/>
      <c r="G662" s="243">
        <f>+F660-F661</f>
        <v>0</v>
      </c>
      <c r="H662" s="245"/>
      <c r="I662" s="243">
        <f>+H660-H661</f>
        <v>0</v>
      </c>
      <c r="J662" s="245"/>
      <c r="K662" s="243">
        <f>+J660-J661</f>
        <v>0</v>
      </c>
      <c r="L662" s="245"/>
      <c r="M662" s="243">
        <f>+L660-L661</f>
        <v>0</v>
      </c>
      <c r="N662" s="245"/>
      <c r="O662" s="243">
        <f>+N660-N661</f>
        <v>0</v>
      </c>
      <c r="P662" s="245"/>
      <c r="Q662" s="243">
        <f>+P660-P661</f>
        <v>0</v>
      </c>
      <c r="R662" s="245"/>
      <c r="S662" s="243">
        <f>+R660-R661</f>
        <v>0</v>
      </c>
      <c r="T662" s="245"/>
      <c r="U662" s="243">
        <f>+T660-T661</f>
        <v>0</v>
      </c>
      <c r="V662" s="245"/>
      <c r="W662" s="243">
        <f>+V660-V661</f>
        <v>0</v>
      </c>
      <c r="X662" s="245"/>
      <c r="Y662" s="243">
        <f>+X660-X661</f>
        <v>0</v>
      </c>
      <c r="Z662" s="245"/>
      <c r="AA662" s="243">
        <f>+Z660-Z661</f>
        <v>0</v>
      </c>
      <c r="AB662" s="245"/>
      <c r="AC662" s="243">
        <f>+AB660-AB661</f>
        <v>0</v>
      </c>
      <c r="AD662" s="245"/>
      <c r="AE662" s="243">
        <f>+AD660-AD661</f>
        <v>237067454</v>
      </c>
      <c r="AF662" s="245"/>
      <c r="AG662" s="243">
        <f>+AF660-AF661</f>
        <v>0</v>
      </c>
      <c r="AH662" s="245"/>
      <c r="AI662" s="243">
        <f>+AH660-AH661</f>
        <v>0</v>
      </c>
    </row>
    <row r="663" spans="2:35">
      <c r="B663" s="373" t="s">
        <v>625</v>
      </c>
      <c r="C663" s="243"/>
      <c r="D663" s="237"/>
      <c r="E663" s="243"/>
      <c r="F663" s="237"/>
      <c r="G663" s="243"/>
      <c r="H663" s="237"/>
      <c r="I663" s="243"/>
      <c r="J663" s="237"/>
      <c r="K663" s="243"/>
      <c r="L663" s="237"/>
      <c r="M663" s="243"/>
      <c r="N663" s="237"/>
      <c r="O663" s="243"/>
      <c r="P663" s="237"/>
      <c r="Q663" s="243"/>
      <c r="R663" s="237"/>
      <c r="S663" s="243"/>
      <c r="T663" s="237"/>
      <c r="U663" s="243"/>
      <c r="V663" s="348"/>
      <c r="W663" s="243"/>
      <c r="X663" s="237"/>
      <c r="Y663" s="243"/>
      <c r="Z663" s="237"/>
      <c r="AA663" s="243"/>
      <c r="AB663" s="237"/>
      <c r="AC663" s="243"/>
      <c r="AD663" s="237"/>
      <c r="AE663" s="243"/>
      <c r="AF663" s="237"/>
      <c r="AG663" s="243"/>
      <c r="AH663" s="237"/>
      <c r="AI663" s="243"/>
    </row>
    <row r="664" spans="2:35">
      <c r="B664" s="345" t="s">
        <v>613</v>
      </c>
      <c r="C664" s="243"/>
      <c r="D664" s="237">
        <f>F664+H664+J664+L664+N664+P664+R664+T664+V664+X664+Z664+AB664+AD664+AF664+AH664</f>
        <v>0</v>
      </c>
      <c r="E664" s="243"/>
      <c r="F664" s="237"/>
      <c r="G664" s="243"/>
      <c r="H664" s="237"/>
      <c r="I664" s="243"/>
      <c r="J664" s="237"/>
      <c r="K664" s="243"/>
      <c r="L664" s="237"/>
      <c r="M664" s="243"/>
      <c r="N664" s="237"/>
      <c r="O664" s="243"/>
      <c r="P664" s="237"/>
      <c r="Q664" s="243"/>
      <c r="R664" s="237"/>
      <c r="S664" s="243"/>
      <c r="T664" s="237"/>
      <c r="U664" s="243"/>
      <c r="V664" s="348"/>
      <c r="W664" s="243"/>
      <c r="X664" s="237"/>
      <c r="Y664" s="243"/>
      <c r="Z664" s="237"/>
      <c r="AA664" s="243"/>
      <c r="AB664" s="237"/>
      <c r="AC664" s="243"/>
      <c r="AD664" s="237"/>
      <c r="AE664" s="243"/>
      <c r="AF664" s="237"/>
      <c r="AG664" s="243"/>
      <c r="AH664" s="237"/>
      <c r="AI664" s="243"/>
    </row>
    <row r="665" spans="2:35">
      <c r="B665" s="345" t="s">
        <v>614</v>
      </c>
      <c r="C665" s="243"/>
      <c r="D665" s="237">
        <f>F665+H665+J665+L665+N665+P665+R665+T665+V665+X665+Z665+AB665+AD665+AF665+AH665</f>
        <v>0</v>
      </c>
      <c r="E665" s="243"/>
      <c r="F665" s="237"/>
      <c r="G665" s="243"/>
      <c r="H665" s="237"/>
      <c r="I665" s="243"/>
      <c r="J665" s="237"/>
      <c r="K665" s="243"/>
      <c r="L665" s="237"/>
      <c r="M665" s="243"/>
      <c r="N665" s="237"/>
      <c r="O665" s="243"/>
      <c r="P665" s="237"/>
      <c r="Q665" s="243"/>
      <c r="R665" s="237"/>
      <c r="S665" s="243"/>
      <c r="T665" s="237"/>
      <c r="U665" s="243"/>
      <c r="V665" s="348"/>
      <c r="W665" s="243"/>
      <c r="X665" s="237"/>
      <c r="Y665" s="243"/>
      <c r="Z665" s="237"/>
      <c r="AA665" s="243"/>
      <c r="AB665" s="237"/>
      <c r="AC665" s="243"/>
      <c r="AD665" s="237"/>
      <c r="AE665" s="243"/>
      <c r="AF665" s="237"/>
      <c r="AG665" s="243"/>
      <c r="AH665" s="237"/>
      <c r="AI665" s="243"/>
    </row>
    <row r="666" spans="2:35" ht="21.75" thickBot="1">
      <c r="B666" s="345" t="s">
        <v>616</v>
      </c>
      <c r="C666" s="243"/>
      <c r="D666" s="245"/>
      <c r="E666" s="243">
        <f>+D664-D665</f>
        <v>0</v>
      </c>
      <c r="F666" s="245"/>
      <c r="G666" s="243">
        <f>+F664-F665</f>
        <v>0</v>
      </c>
      <c r="H666" s="245"/>
      <c r="I666" s="243">
        <f>+H664-H665</f>
        <v>0</v>
      </c>
      <c r="J666" s="245"/>
      <c r="K666" s="243">
        <f>+J664-J665</f>
        <v>0</v>
      </c>
      <c r="L666" s="245"/>
      <c r="M666" s="243">
        <f>+L664-L665</f>
        <v>0</v>
      </c>
      <c r="N666" s="245"/>
      <c r="O666" s="243">
        <f>+N664-N665</f>
        <v>0</v>
      </c>
      <c r="P666" s="245"/>
      <c r="Q666" s="243">
        <f>+P664-P665</f>
        <v>0</v>
      </c>
      <c r="R666" s="245"/>
      <c r="S666" s="243">
        <f>+R664-R665</f>
        <v>0</v>
      </c>
      <c r="T666" s="245"/>
      <c r="U666" s="243">
        <f>+T664-T665</f>
        <v>0</v>
      </c>
      <c r="V666" s="245"/>
      <c r="W666" s="243">
        <f>+V664-V665</f>
        <v>0</v>
      </c>
      <c r="X666" s="245"/>
      <c r="Y666" s="243">
        <f>+X664-X665</f>
        <v>0</v>
      </c>
      <c r="Z666" s="245"/>
      <c r="AA666" s="243">
        <f>+Z664-Z665</f>
        <v>0</v>
      </c>
      <c r="AB666" s="245"/>
      <c r="AC666" s="243">
        <f>+AB664-AB665</f>
        <v>0</v>
      </c>
      <c r="AD666" s="245"/>
      <c r="AE666" s="243">
        <f>+AD664-AD665</f>
        <v>0</v>
      </c>
      <c r="AF666" s="245"/>
      <c r="AG666" s="243">
        <f>+AF664-AF665</f>
        <v>0</v>
      </c>
      <c r="AH666" s="245"/>
      <c r="AI666" s="243">
        <f>+AH664-AH665</f>
        <v>0</v>
      </c>
    </row>
    <row r="667" spans="2:35">
      <c r="B667" s="373" t="s">
        <v>626</v>
      </c>
      <c r="C667" s="243"/>
      <c r="D667" s="237"/>
      <c r="E667" s="243"/>
      <c r="F667" s="237"/>
      <c r="G667" s="243"/>
      <c r="H667" s="237"/>
      <c r="I667" s="243"/>
      <c r="J667" s="237"/>
      <c r="K667" s="243"/>
      <c r="L667" s="237"/>
      <c r="M667" s="243"/>
      <c r="N667" s="237"/>
      <c r="O667" s="243"/>
      <c r="P667" s="237"/>
      <c r="Q667" s="243"/>
      <c r="R667" s="237"/>
      <c r="S667" s="243"/>
      <c r="T667" s="237"/>
      <c r="U667" s="243"/>
      <c r="V667" s="348"/>
      <c r="W667" s="243"/>
      <c r="X667" s="237"/>
      <c r="Y667" s="243"/>
      <c r="Z667" s="237"/>
      <c r="AA667" s="243"/>
      <c r="AB667" s="237"/>
      <c r="AC667" s="243"/>
      <c r="AD667" s="237"/>
      <c r="AE667" s="243"/>
      <c r="AF667" s="237"/>
      <c r="AG667" s="243"/>
      <c r="AH667" s="237"/>
      <c r="AI667" s="243"/>
    </row>
    <row r="668" spans="2:35">
      <c r="B668" s="345" t="s">
        <v>617</v>
      </c>
      <c r="C668" s="243"/>
      <c r="D668" s="758">
        <f>F668+H668+J668+L668+N668+P668+R668+T668+V668+X668+Z668+AB668+AD668+AF668+AH668</f>
        <v>2196642739</v>
      </c>
      <c r="E668" s="243"/>
      <c r="F668" s="237">
        <v>496481</v>
      </c>
      <c r="G668" s="243"/>
      <c r="H668" s="237">
        <v>44941077</v>
      </c>
      <c r="I668" s="243"/>
      <c r="J668" s="237">
        <v>743932377</v>
      </c>
      <c r="K668" s="243"/>
      <c r="L668" s="237">
        <v>271050134</v>
      </c>
      <c r="M668" s="243"/>
      <c r="N668" s="237"/>
      <c r="O668" s="243"/>
      <c r="P668" s="237">
        <v>132395337</v>
      </c>
      <c r="Q668" s="243"/>
      <c r="R668" s="237">
        <v>23232391</v>
      </c>
      <c r="S668" s="243"/>
      <c r="T668" s="237">
        <v>838632185</v>
      </c>
      <c r="U668" s="243"/>
      <c r="V668" s="348">
        <v>61332544</v>
      </c>
      <c r="W668" s="243"/>
      <c r="X668" s="237">
        <v>15338035</v>
      </c>
      <c r="Y668" s="243"/>
      <c r="Z668" s="237">
        <v>25132777</v>
      </c>
      <c r="AA668" s="243"/>
      <c r="AB668" s="237"/>
      <c r="AC668" s="243"/>
      <c r="AD668" s="237">
        <v>14053011</v>
      </c>
      <c r="AE668" s="243"/>
      <c r="AF668" s="237">
        <v>26106390</v>
      </c>
      <c r="AG668" s="243"/>
      <c r="AH668" s="237"/>
      <c r="AI668" s="243"/>
    </row>
    <row r="669" spans="2:35">
      <c r="B669" s="345" t="s">
        <v>618</v>
      </c>
      <c r="C669" s="243"/>
      <c r="D669" s="758">
        <f>F669+H669+J669+L669+N669+P669+R669+T669+V669+X669+Z669+AB669+AD669+AF669+AH669</f>
        <v>2717929614</v>
      </c>
      <c r="E669" s="243"/>
      <c r="F669" s="237">
        <v>1609708</v>
      </c>
      <c r="G669" s="243"/>
      <c r="H669" s="237">
        <v>21215805</v>
      </c>
      <c r="I669" s="243"/>
      <c r="J669" s="237">
        <v>1207916874</v>
      </c>
      <c r="K669" s="243"/>
      <c r="L669" s="237">
        <v>32392015</v>
      </c>
      <c r="M669" s="243"/>
      <c r="N669" s="237"/>
      <c r="O669" s="243"/>
      <c r="P669" s="237">
        <v>20423605</v>
      </c>
      <c r="Q669" s="243"/>
      <c r="R669" s="237">
        <v>8220761</v>
      </c>
      <c r="S669" s="243"/>
      <c r="T669" s="237">
        <v>1031819741</v>
      </c>
      <c r="U669" s="243"/>
      <c r="V669" s="348">
        <v>26067204</v>
      </c>
      <c r="W669" s="243"/>
      <c r="X669" s="237">
        <v>19453979</v>
      </c>
      <c r="Y669" s="243"/>
      <c r="Z669" s="237">
        <v>267762176</v>
      </c>
      <c r="AA669" s="243"/>
      <c r="AB669" s="237"/>
      <c r="AC669" s="243"/>
      <c r="AD669" s="237">
        <v>11643270</v>
      </c>
      <c r="AE669" s="243"/>
      <c r="AF669" s="237">
        <v>69404476</v>
      </c>
      <c r="AG669" s="243"/>
      <c r="AH669" s="237"/>
      <c r="AI669" s="243"/>
    </row>
    <row r="670" spans="2:35" ht="12" thickBot="1">
      <c r="B670" s="345" t="s">
        <v>619</v>
      </c>
      <c r="C670" s="243"/>
      <c r="D670" s="245"/>
      <c r="E670" s="243">
        <f>+D668-D669</f>
        <v>-521286875</v>
      </c>
      <c r="F670" s="245"/>
      <c r="G670" s="243">
        <f>+F668-F669</f>
        <v>-1113227</v>
      </c>
      <c r="H670" s="245"/>
      <c r="I670" s="243">
        <f>+H668-H669</f>
        <v>23725272</v>
      </c>
      <c r="J670" s="245"/>
      <c r="K670" s="243">
        <f>+J668-J669</f>
        <v>-463984497</v>
      </c>
      <c r="L670" s="245"/>
      <c r="M670" s="243">
        <f>+L668-L669</f>
        <v>238658119</v>
      </c>
      <c r="N670" s="245"/>
      <c r="O670" s="243">
        <f>+N668-N669</f>
        <v>0</v>
      </c>
      <c r="P670" s="245"/>
      <c r="Q670" s="243">
        <f>+P668-P669</f>
        <v>111971732</v>
      </c>
      <c r="R670" s="245"/>
      <c r="S670" s="243">
        <f>+R668-R669</f>
        <v>15011630</v>
      </c>
      <c r="T670" s="245"/>
      <c r="U670" s="243">
        <f>+T668-T669</f>
        <v>-193187556</v>
      </c>
      <c r="V670" s="245"/>
      <c r="W670" s="243">
        <f>+V668-V669</f>
        <v>35265340</v>
      </c>
      <c r="X670" s="245"/>
      <c r="Y670" s="243">
        <f>+X668-X669</f>
        <v>-4115944</v>
      </c>
      <c r="Z670" s="245"/>
      <c r="AA670" s="243">
        <f>+Z668-Z669</f>
        <v>-242629399</v>
      </c>
      <c r="AB670" s="245"/>
      <c r="AC670" s="243">
        <f>+AB668-AB669</f>
        <v>0</v>
      </c>
      <c r="AD670" s="245"/>
      <c r="AE670" s="243">
        <f>+AD668-AD669</f>
        <v>2409741</v>
      </c>
      <c r="AF670" s="245"/>
      <c r="AG670" s="243">
        <f>+AF668-AF669</f>
        <v>-43298086</v>
      </c>
      <c r="AH670" s="245"/>
      <c r="AI670" s="243">
        <f>+AH668-AH669</f>
        <v>0</v>
      </c>
    </row>
    <row r="671" spans="2:35">
      <c r="B671" s="345"/>
      <c r="C671" s="243"/>
      <c r="D671" s="237"/>
      <c r="E671" s="243"/>
      <c r="F671" s="237"/>
      <c r="G671" s="243"/>
      <c r="H671" s="237"/>
      <c r="I671" s="243"/>
      <c r="J671" s="237"/>
      <c r="K671" s="243"/>
      <c r="L671" s="237"/>
      <c r="M671" s="243"/>
      <c r="N671" s="237"/>
      <c r="O671" s="243"/>
      <c r="P671" s="237"/>
      <c r="Q671" s="243"/>
      <c r="R671" s="237"/>
      <c r="S671" s="243"/>
      <c r="T671" s="237"/>
      <c r="U671" s="243"/>
      <c r="V671" s="348"/>
      <c r="W671" s="243"/>
      <c r="X671" s="237"/>
      <c r="Y671" s="243"/>
      <c r="Z671" s="237"/>
      <c r="AA671" s="243"/>
      <c r="AB671" s="237"/>
      <c r="AC671" s="243"/>
      <c r="AD671" s="237"/>
      <c r="AE671" s="243"/>
      <c r="AF671" s="237"/>
      <c r="AG671" s="243"/>
      <c r="AH671" s="237"/>
      <c r="AI671" s="243"/>
    </row>
    <row r="672" spans="2:35" ht="12" thickBot="1">
      <c r="B672" s="667" t="s">
        <v>620</v>
      </c>
      <c r="C672" s="243"/>
      <c r="D672" s="237"/>
      <c r="E672" s="246">
        <f>SUM(E659:E671)</f>
        <v>-284219421</v>
      </c>
      <c r="F672" s="237"/>
      <c r="G672" s="246">
        <f>SUM(G659:G671)</f>
        <v>-1113227</v>
      </c>
      <c r="H672" s="237"/>
      <c r="I672" s="246">
        <f>SUM(I659:I671)</f>
        <v>23725272</v>
      </c>
      <c r="J672" s="237"/>
      <c r="K672" s="246">
        <f>SUM(K659:K671)</f>
        <v>-463984497</v>
      </c>
      <c r="L672" s="237"/>
      <c r="M672" s="246">
        <f>SUM(M659:M671)</f>
        <v>238658119</v>
      </c>
      <c r="N672" s="237"/>
      <c r="O672" s="246">
        <f>SUM(O659:O671)</f>
        <v>0</v>
      </c>
      <c r="P672" s="237"/>
      <c r="Q672" s="246">
        <f>SUM(Q659:Q671)</f>
        <v>111971732</v>
      </c>
      <c r="R672" s="237"/>
      <c r="S672" s="246">
        <f>SUM(S659:S671)</f>
        <v>15011630</v>
      </c>
      <c r="T672" s="237"/>
      <c r="U672" s="246">
        <f>SUM(U659:U671)</f>
        <v>-193187556</v>
      </c>
      <c r="V672" s="348"/>
      <c r="W672" s="246">
        <f>SUM(W659:W671)</f>
        <v>35265340</v>
      </c>
      <c r="X672" s="237"/>
      <c r="Y672" s="246">
        <f>SUM(Y659:Y671)</f>
        <v>-4115944</v>
      </c>
      <c r="Z672" s="237"/>
      <c r="AA672" s="246">
        <f>SUM(AA659:AA671)</f>
        <v>-242629399</v>
      </c>
      <c r="AB672" s="237"/>
      <c r="AC672" s="246">
        <f>SUM(AC659:AC671)</f>
        <v>0</v>
      </c>
      <c r="AD672" s="237"/>
      <c r="AE672" s="246">
        <f>SUM(AE659:AE671)</f>
        <v>239477195</v>
      </c>
      <c r="AF672" s="237"/>
      <c r="AG672" s="246">
        <f>SUM(AG659:AG671)</f>
        <v>-43298086</v>
      </c>
      <c r="AH672" s="237"/>
      <c r="AI672" s="246">
        <f>SUM(AI659:AI671)</f>
        <v>0</v>
      </c>
    </row>
    <row r="673" spans="2:35" ht="12.75" thickTop="1" thickBot="1">
      <c r="B673" s="245"/>
      <c r="C673" s="247"/>
      <c r="D673" s="245"/>
      <c r="E673" s="247"/>
      <c r="F673" s="245"/>
      <c r="G673" s="247"/>
      <c r="H673" s="245"/>
      <c r="I673" s="247"/>
      <c r="J673" s="245"/>
      <c r="K673" s="247"/>
      <c r="L673" s="245"/>
      <c r="M673" s="247"/>
      <c r="N673" s="245"/>
      <c r="O673" s="247"/>
      <c r="P673" s="245"/>
      <c r="Q673" s="247"/>
      <c r="R673" s="245"/>
      <c r="S673" s="247"/>
      <c r="T673" s="245"/>
      <c r="U673" s="247"/>
      <c r="V673" s="344"/>
      <c r="W673" s="247"/>
      <c r="X673" s="245"/>
      <c r="Y673" s="247"/>
      <c r="Z673" s="245"/>
      <c r="AA673" s="247"/>
      <c r="AB673" s="245"/>
      <c r="AC673" s="247"/>
      <c r="AD673" s="245"/>
      <c r="AE673" s="247"/>
      <c r="AF673" s="245"/>
      <c r="AG673" s="247"/>
      <c r="AH673" s="245"/>
      <c r="AI673" s="247"/>
    </row>
    <row r="675" spans="2:35">
      <c r="B675" s="318" t="s">
        <v>1042</v>
      </c>
      <c r="C675" s="451"/>
      <c r="D675" s="451"/>
      <c r="E675" s="451"/>
      <c r="F675" s="451">
        <f>F669-G425-G835</f>
        <v>0</v>
      </c>
      <c r="G675" s="451"/>
      <c r="H675" s="451">
        <f>H669-I425-I835</f>
        <v>0</v>
      </c>
      <c r="I675" s="451"/>
      <c r="J675" s="451">
        <f>J669-K425-K835</f>
        <v>0</v>
      </c>
      <c r="K675" s="451"/>
      <c r="L675" s="451">
        <f>L669-M425-M835</f>
        <v>0</v>
      </c>
      <c r="M675" s="451"/>
      <c r="N675" s="451"/>
      <c r="O675" s="451"/>
      <c r="P675" s="451">
        <f>P669-Q425-Q835</f>
        <v>1</v>
      </c>
      <c r="Q675" s="451"/>
      <c r="R675" s="451">
        <f>R669-S425-S835</f>
        <v>0</v>
      </c>
      <c r="S675" s="451"/>
      <c r="T675" s="451">
        <f>T669-U425-U835</f>
        <v>32667686</v>
      </c>
      <c r="U675" s="451"/>
      <c r="V675" s="451">
        <f>V669-W425-W835</f>
        <v>0</v>
      </c>
      <c r="W675" s="451"/>
      <c r="X675" s="451">
        <f>X669-Y425-Y835</f>
        <v>0</v>
      </c>
      <c r="Y675" s="451"/>
      <c r="Z675" s="451">
        <f>Z669-AA425-AA835</f>
        <v>0</v>
      </c>
      <c r="AA675" s="451"/>
      <c r="AB675" s="451"/>
      <c r="AC675" s="451"/>
      <c r="AD675" s="451">
        <f>AD669-AE425-AE835+AD661</f>
        <v>0</v>
      </c>
      <c r="AE675" s="451"/>
      <c r="AF675" s="451">
        <f>AF669-AG425-AG835</f>
        <v>0</v>
      </c>
      <c r="AG675" s="451"/>
      <c r="AH675" s="451"/>
      <c r="AI675" s="451"/>
    </row>
    <row r="676" spans="2:35" ht="12" thickBot="1">
      <c r="B676" s="451"/>
      <c r="C676" s="451"/>
      <c r="D676" s="451"/>
      <c r="E676" s="451"/>
      <c r="F676" s="451"/>
      <c r="G676" s="335" t="s">
        <v>247</v>
      </c>
      <c r="H676" s="451"/>
      <c r="I676" s="451"/>
      <c r="J676" s="451"/>
      <c r="K676" s="451"/>
      <c r="L676" s="451"/>
      <c r="M676" s="451"/>
      <c r="N676" s="451"/>
      <c r="O676" s="451"/>
      <c r="P676" s="451"/>
      <c r="Q676" s="451"/>
      <c r="R676" s="451"/>
      <c r="S676" s="451"/>
      <c r="T676" s="451"/>
      <c r="U676" s="451"/>
      <c r="V676" s="405"/>
      <c r="W676" s="451"/>
      <c r="X676" s="451"/>
      <c r="Y676" s="451"/>
      <c r="Z676" s="451"/>
      <c r="AA676" s="451"/>
      <c r="AB676" s="451"/>
      <c r="AC676" s="451"/>
      <c r="AD676" s="451"/>
      <c r="AE676" s="451"/>
      <c r="AF676" s="451"/>
      <c r="AG676" s="451"/>
      <c r="AH676" s="451"/>
      <c r="AI676" s="451"/>
    </row>
    <row r="677" spans="2:35" ht="12" thickBot="1">
      <c r="B677" s="425"/>
      <c r="C677" s="271"/>
      <c r="D677" s="1463" t="s">
        <v>860</v>
      </c>
      <c r="E677" s="1464"/>
      <c r="F677" s="1463" t="s">
        <v>17</v>
      </c>
      <c r="G677" s="1464"/>
      <c r="H677" s="1463" t="s">
        <v>18</v>
      </c>
      <c r="I677" s="1464"/>
      <c r="J677" s="1463" t="s">
        <v>19</v>
      </c>
      <c r="K677" s="1464"/>
      <c r="L677" s="1463" t="s">
        <v>20</v>
      </c>
      <c r="M677" s="1464"/>
      <c r="N677" s="1463" t="s">
        <v>21</v>
      </c>
      <c r="O677" s="1464"/>
      <c r="P677" s="1463" t="s">
        <v>22</v>
      </c>
      <c r="Q677" s="1464"/>
      <c r="R677" s="1463" t="s">
        <v>23</v>
      </c>
      <c r="S677" s="1464"/>
      <c r="T677" s="1463" t="s">
        <v>24</v>
      </c>
      <c r="U677" s="1464"/>
      <c r="V677" s="1463" t="s">
        <v>25</v>
      </c>
      <c r="W677" s="1464"/>
      <c r="X677" s="1463" t="s">
        <v>26</v>
      </c>
      <c r="Y677" s="1464"/>
      <c r="Z677" s="1463" t="s">
        <v>27</v>
      </c>
      <c r="AA677" s="1464"/>
      <c r="AB677" s="1463"/>
      <c r="AC677" s="1464"/>
      <c r="AD677" s="1463" t="s">
        <v>1266</v>
      </c>
      <c r="AE677" s="1464"/>
      <c r="AF677" s="1463" t="s">
        <v>30</v>
      </c>
      <c r="AG677" s="1464"/>
      <c r="AH677" s="1463" t="s">
        <v>31</v>
      </c>
      <c r="AI677" s="1464"/>
    </row>
    <row r="678" spans="2:35">
      <c r="B678" s="450" t="s">
        <v>988</v>
      </c>
      <c r="C678" s="559"/>
      <c r="D678" s="260"/>
      <c r="E678" s="261"/>
      <c r="F678" s="559"/>
      <c r="G678" s="261"/>
      <c r="H678" s="559"/>
      <c r="I678" s="261"/>
      <c r="J678" s="559"/>
      <c r="K678" s="261"/>
      <c r="L678" s="559"/>
      <c r="M678" s="261"/>
      <c r="N678" s="559"/>
      <c r="O678" s="261"/>
      <c r="P678" s="559"/>
      <c r="Q678" s="261"/>
      <c r="R678" s="559"/>
      <c r="S678" s="261"/>
      <c r="T678" s="559"/>
      <c r="U678" s="261"/>
      <c r="V678" s="559"/>
      <c r="W678" s="261"/>
      <c r="X678" s="559"/>
      <c r="Y678" s="261"/>
      <c r="Z678" s="559"/>
      <c r="AA678" s="261"/>
      <c r="AB678" s="559"/>
      <c r="AC678" s="261"/>
      <c r="AD678" s="559"/>
      <c r="AE678" s="261"/>
      <c r="AF678" s="559"/>
      <c r="AG678" s="261"/>
      <c r="AH678" s="559"/>
      <c r="AI678" s="261"/>
    </row>
    <row r="679" spans="2:35">
      <c r="B679" s="364" t="s">
        <v>1044</v>
      </c>
      <c r="C679" s="269"/>
      <c r="D679" s="262">
        <f t="shared" ref="D679:D692" si="44">F679+H679+J679+L679+N679+P679+R679+T679+V679+X679+Z679+AB679+AD679+AF679+AH679</f>
        <v>1282587214</v>
      </c>
      <c r="E679" s="263"/>
      <c r="F679" s="269">
        <v>476955152</v>
      </c>
      <c r="G679" s="263"/>
      <c r="H679" s="269">
        <v>83150640</v>
      </c>
      <c r="I679" s="263"/>
      <c r="J679" s="269">
        <v>23206836</v>
      </c>
      <c r="K679" s="263"/>
      <c r="L679" s="269">
        <v>31659456</v>
      </c>
      <c r="M679" s="263"/>
      <c r="N679" s="269"/>
      <c r="O679" s="263"/>
      <c r="P679" s="269">
        <v>115055431</v>
      </c>
      <c r="Q679" s="263"/>
      <c r="R679" s="269">
        <v>22687954</v>
      </c>
      <c r="S679" s="263"/>
      <c r="T679" s="269">
        <v>121278451</v>
      </c>
      <c r="U679" s="263"/>
      <c r="V679" s="727">
        <v>95310736</v>
      </c>
      <c r="W679" s="263"/>
      <c r="X679" s="269">
        <v>20706698</v>
      </c>
      <c r="Y679" s="263"/>
      <c r="Z679" s="269">
        <v>52571563</v>
      </c>
      <c r="AA679" s="263"/>
      <c r="AB679" s="269"/>
      <c r="AC679" s="263"/>
      <c r="AD679" s="269">
        <v>111564347</v>
      </c>
      <c r="AE679" s="263"/>
      <c r="AF679" s="269">
        <v>105875486</v>
      </c>
      <c r="AG679" s="263"/>
      <c r="AH679" s="269">
        <v>22564464</v>
      </c>
      <c r="AI679" s="263"/>
    </row>
    <row r="680" spans="2:35">
      <c r="B680" s="364" t="s">
        <v>1045</v>
      </c>
      <c r="C680" s="269"/>
      <c r="D680" s="262">
        <f t="shared" si="44"/>
        <v>141988025</v>
      </c>
      <c r="E680" s="263"/>
      <c r="F680" s="269">
        <v>56890306</v>
      </c>
      <c r="G680" s="263"/>
      <c r="H680" s="269">
        <v>8765681</v>
      </c>
      <c r="I680" s="263"/>
      <c r="J680" s="269">
        <v>1485218</v>
      </c>
      <c r="K680" s="263"/>
      <c r="L680" s="269">
        <v>2678384</v>
      </c>
      <c r="M680" s="263"/>
      <c r="N680" s="269"/>
      <c r="O680" s="263"/>
      <c r="P680" s="269">
        <v>11221641</v>
      </c>
      <c r="Q680" s="263"/>
      <c r="R680" s="269">
        <v>1240469</v>
      </c>
      <c r="S680" s="263"/>
      <c r="T680" s="269">
        <v>13616094</v>
      </c>
      <c r="U680" s="263"/>
      <c r="V680" s="727">
        <v>10262456</v>
      </c>
      <c r="W680" s="263"/>
      <c r="X680" s="269">
        <v>2057473</v>
      </c>
      <c r="Y680" s="263"/>
      <c r="Z680" s="269">
        <v>8942520</v>
      </c>
      <c r="AA680" s="263"/>
      <c r="AB680" s="269"/>
      <c r="AC680" s="263"/>
      <c r="AD680" s="269">
        <v>13301636</v>
      </c>
      <c r="AE680" s="263"/>
      <c r="AF680" s="269">
        <v>10475781</v>
      </c>
      <c r="AG680" s="263"/>
      <c r="AH680" s="269">
        <v>1050366</v>
      </c>
      <c r="AI680" s="263"/>
    </row>
    <row r="681" spans="2:35">
      <c r="B681" s="364" t="s">
        <v>1046</v>
      </c>
      <c r="C681" s="269"/>
      <c r="D681" s="262">
        <f t="shared" si="44"/>
        <v>178104</v>
      </c>
      <c r="E681" s="263"/>
      <c r="F681" s="269">
        <f>208104-30000</f>
        <v>178104</v>
      </c>
      <c r="G681" s="263"/>
      <c r="H681" s="269"/>
      <c r="I681" s="263"/>
      <c r="J681" s="269"/>
      <c r="K681" s="263"/>
      <c r="L681" s="269"/>
      <c r="M681" s="263"/>
      <c r="N681" s="269"/>
      <c r="O681" s="263"/>
      <c r="P681" s="269"/>
      <c r="Q681" s="263"/>
      <c r="R681" s="269"/>
      <c r="S681" s="263"/>
      <c r="T681" s="269"/>
      <c r="U681" s="263"/>
      <c r="V681" s="727"/>
      <c r="W681" s="263"/>
      <c r="X681" s="269"/>
      <c r="Y681" s="263"/>
      <c r="Z681" s="269"/>
      <c r="AA681" s="263"/>
      <c r="AB681" s="269"/>
      <c r="AC681" s="263"/>
      <c r="AD681" s="269"/>
      <c r="AE681" s="263"/>
      <c r="AF681" s="269"/>
      <c r="AG681" s="263"/>
      <c r="AH681" s="269"/>
      <c r="AI681" s="263"/>
    </row>
    <row r="682" spans="2:35">
      <c r="B682" s="364" t="s">
        <v>1047</v>
      </c>
      <c r="C682" s="269"/>
      <c r="D682" s="262">
        <f t="shared" si="44"/>
        <v>154421</v>
      </c>
      <c r="E682" s="263"/>
      <c r="F682" s="269"/>
      <c r="G682" s="263"/>
      <c r="H682" s="269">
        <v>28209</v>
      </c>
      <c r="I682" s="263"/>
      <c r="J682" s="269"/>
      <c r="K682" s="263"/>
      <c r="L682" s="269">
        <v>59712</v>
      </c>
      <c r="M682" s="263"/>
      <c r="N682" s="269"/>
      <c r="O682" s="263"/>
      <c r="P682" s="269"/>
      <c r="Q682" s="263"/>
      <c r="R682" s="269"/>
      <c r="S682" s="263"/>
      <c r="T682" s="269">
        <v>49000</v>
      </c>
      <c r="U682" s="263"/>
      <c r="V682" s="727"/>
      <c r="W682" s="263"/>
      <c r="X682" s="269"/>
      <c r="Y682" s="263"/>
      <c r="Z682" s="269">
        <v>17500</v>
      </c>
      <c r="AA682" s="263"/>
      <c r="AB682" s="269"/>
      <c r="AC682" s="263"/>
      <c r="AD682" s="269"/>
      <c r="AE682" s="263"/>
      <c r="AF682" s="269"/>
      <c r="AG682" s="263"/>
      <c r="AH682" s="269"/>
      <c r="AI682" s="263"/>
    </row>
    <row r="683" spans="2:35">
      <c r="B683" s="364" t="s">
        <v>1048</v>
      </c>
      <c r="C683" s="269"/>
      <c r="D683" s="262">
        <f t="shared" si="44"/>
        <v>26802308</v>
      </c>
      <c r="E683" s="263"/>
      <c r="F683" s="269">
        <v>26700000</v>
      </c>
      <c r="G683" s="263"/>
      <c r="H683" s="269"/>
      <c r="I683" s="263"/>
      <c r="J683" s="269"/>
      <c r="K683" s="263"/>
      <c r="L683" s="269">
        <v>0</v>
      </c>
      <c r="M683" s="263"/>
      <c r="N683" s="269"/>
      <c r="O683" s="263"/>
      <c r="P683" s="269"/>
      <c r="Q683" s="263"/>
      <c r="R683" s="269"/>
      <c r="S683" s="263"/>
      <c r="T683" s="269"/>
      <c r="U683" s="263"/>
      <c r="V683" s="727"/>
      <c r="W683" s="263"/>
      <c r="X683" s="269"/>
      <c r="Y683" s="263"/>
      <c r="Z683" s="269"/>
      <c r="AA683" s="263"/>
      <c r="AB683" s="269"/>
      <c r="AC683" s="263"/>
      <c r="AD683" s="269"/>
      <c r="AE683" s="263"/>
      <c r="AF683" s="269">
        <v>102308</v>
      </c>
      <c r="AG683" s="263"/>
      <c r="AH683" s="269"/>
      <c r="AI683" s="263"/>
    </row>
    <row r="684" spans="2:35">
      <c r="B684" s="364" t="s">
        <v>1049</v>
      </c>
      <c r="C684" s="269"/>
      <c r="D684" s="262">
        <f t="shared" si="44"/>
        <v>72593958</v>
      </c>
      <c r="E684" s="263"/>
      <c r="F684" s="269">
        <f>28557863</f>
        <v>28557863</v>
      </c>
      <c r="G684" s="263"/>
      <c r="H684" s="727">
        <v>4951461</v>
      </c>
      <c r="I684" s="263"/>
      <c r="J684" s="269">
        <v>652660</v>
      </c>
      <c r="K684" s="263"/>
      <c r="L684" s="269">
        <v>1209752</v>
      </c>
      <c r="M684" s="263"/>
      <c r="N684" s="269"/>
      <c r="O684" s="263"/>
      <c r="P684" s="269">
        <f>5290552</f>
        <v>5290552</v>
      </c>
      <c r="Q684" s="263"/>
      <c r="R684" s="269">
        <v>941650</v>
      </c>
      <c r="S684" s="263"/>
      <c r="T684" s="269">
        <v>4518473</v>
      </c>
      <c r="U684" s="263"/>
      <c r="V684" s="727">
        <v>3093698</v>
      </c>
      <c r="W684" s="263"/>
      <c r="X684" s="269">
        <v>349802</v>
      </c>
      <c r="Y684" s="263"/>
      <c r="Z684" s="269">
        <v>1751135</v>
      </c>
      <c r="AA684" s="263"/>
      <c r="AB684" s="269"/>
      <c r="AC684" s="263"/>
      <c r="AD684" s="269">
        <v>5489405</v>
      </c>
      <c r="AE684" s="263"/>
      <c r="AF684" s="269">
        <v>12315817</v>
      </c>
      <c r="AG684" s="263"/>
      <c r="AH684" s="269">
        <v>3471690</v>
      </c>
      <c r="AI684" s="263"/>
    </row>
    <row r="685" spans="2:35">
      <c r="B685" s="364" t="s">
        <v>1189</v>
      </c>
      <c r="C685" s="269"/>
      <c r="D685" s="262">
        <f t="shared" si="44"/>
        <v>149486799</v>
      </c>
      <c r="E685" s="263"/>
      <c r="F685" s="269">
        <f>39842116-5400946</f>
        <v>34441170</v>
      </c>
      <c r="G685" s="263"/>
      <c r="H685" s="269">
        <v>21131855</v>
      </c>
      <c r="I685" s="263"/>
      <c r="J685" s="269">
        <v>1838452</v>
      </c>
      <c r="K685" s="263"/>
      <c r="L685" s="269">
        <v>2936645</v>
      </c>
      <c r="M685" s="263"/>
      <c r="N685" s="269"/>
      <c r="O685" s="263"/>
      <c r="P685" s="269">
        <v>12661614</v>
      </c>
      <c r="Q685" s="263"/>
      <c r="R685" s="269">
        <v>5870707</v>
      </c>
      <c r="S685" s="263"/>
      <c r="T685" s="269">
        <v>14065987</v>
      </c>
      <c r="U685" s="263"/>
      <c r="V685" s="727">
        <v>15867037</v>
      </c>
      <c r="W685" s="263"/>
      <c r="X685" s="269">
        <v>1459127</v>
      </c>
      <c r="Y685" s="263"/>
      <c r="Z685" s="269">
        <v>8773137</v>
      </c>
      <c r="AA685" s="263"/>
      <c r="AB685" s="269"/>
      <c r="AC685" s="263"/>
      <c r="AD685" s="269">
        <v>10180804</v>
      </c>
      <c r="AE685" s="263"/>
      <c r="AF685" s="269">
        <v>20260264</v>
      </c>
      <c r="AG685" s="263"/>
      <c r="AH685" s="269"/>
      <c r="AI685" s="263"/>
    </row>
    <row r="686" spans="2:35">
      <c r="B686" s="364" t="s">
        <v>1050</v>
      </c>
      <c r="C686" s="269"/>
      <c r="D686" s="262">
        <f t="shared" si="44"/>
        <v>727468</v>
      </c>
      <c r="E686" s="263"/>
      <c r="F686" s="269">
        <v>700569</v>
      </c>
      <c r="G686" s="263"/>
      <c r="H686" s="269"/>
      <c r="I686" s="263"/>
      <c r="J686" s="269"/>
      <c r="K686" s="263"/>
      <c r="L686" s="269"/>
      <c r="M686" s="263"/>
      <c r="N686" s="269"/>
      <c r="O686" s="263"/>
      <c r="P686" s="269"/>
      <c r="Q686" s="263"/>
      <c r="R686" s="269"/>
      <c r="S686" s="263"/>
      <c r="T686" s="269"/>
      <c r="U686" s="263"/>
      <c r="V686" s="727"/>
      <c r="W686" s="263"/>
      <c r="X686" s="269"/>
      <c r="Y686" s="263"/>
      <c r="Z686" s="269">
        <v>5707</v>
      </c>
      <c r="AA686" s="263"/>
      <c r="AB686" s="269"/>
      <c r="AC686" s="263"/>
      <c r="AD686" s="269"/>
      <c r="AE686" s="263"/>
      <c r="AF686" s="269"/>
      <c r="AG686" s="263"/>
      <c r="AH686" s="269">
        <v>21192</v>
      </c>
      <c r="AI686" s="263"/>
    </row>
    <row r="687" spans="2:35" ht="12" thickBot="1">
      <c r="B687" s="364" t="s">
        <v>1051</v>
      </c>
      <c r="C687" s="269"/>
      <c r="D687" s="264">
        <f t="shared" si="44"/>
        <v>3227872</v>
      </c>
      <c r="E687" s="263">
        <f>SUM(D679:D687)</f>
        <v>1677746169</v>
      </c>
      <c r="F687" s="264">
        <v>2886658</v>
      </c>
      <c r="G687" s="263">
        <f>SUM(F679:F687)</f>
        <v>627309822</v>
      </c>
      <c r="H687" s="264"/>
      <c r="I687" s="263">
        <f>SUM(H679:H687)</f>
        <v>118027846</v>
      </c>
      <c r="J687" s="264"/>
      <c r="K687" s="263">
        <f>SUM(J679:J687)</f>
        <v>27183166</v>
      </c>
      <c r="L687" s="264"/>
      <c r="M687" s="263">
        <f>SUM(L679:L687)</f>
        <v>38543949</v>
      </c>
      <c r="N687" s="264"/>
      <c r="O687" s="263">
        <f>SUM(N679:N687)</f>
        <v>0</v>
      </c>
      <c r="P687" s="264"/>
      <c r="Q687" s="263">
        <f>SUM(P679:P687)</f>
        <v>144229238</v>
      </c>
      <c r="R687" s="264"/>
      <c r="S687" s="263">
        <f>SUM(R679:R687)</f>
        <v>30740780</v>
      </c>
      <c r="T687" s="264"/>
      <c r="U687" s="263">
        <f>SUM(T679:T687)</f>
        <v>153528005</v>
      </c>
      <c r="V687" s="264"/>
      <c r="W687" s="263">
        <f>SUM(V679:V687)</f>
        <v>124533927</v>
      </c>
      <c r="X687" s="264"/>
      <c r="Y687" s="263">
        <f>SUM(X679:X687)</f>
        <v>24573100</v>
      </c>
      <c r="Z687" s="264"/>
      <c r="AA687" s="263">
        <f>SUM(Z679:Z687)</f>
        <v>72061562</v>
      </c>
      <c r="AB687" s="264"/>
      <c r="AC687" s="263">
        <f>SUM(AB679:AB687)</f>
        <v>0</v>
      </c>
      <c r="AD687" s="264"/>
      <c r="AE687" s="263">
        <f>SUM(AD679:AD687)</f>
        <v>140536192</v>
      </c>
      <c r="AF687" s="264"/>
      <c r="AG687" s="263">
        <f>SUM(AF679:AF687)</f>
        <v>149029656</v>
      </c>
      <c r="AH687" s="264">
        <v>341214</v>
      </c>
      <c r="AI687" s="263">
        <f>SUM(AH679:AH687)</f>
        <v>27448926</v>
      </c>
    </row>
    <row r="688" spans="2:35" s="244" customFormat="1" ht="20.25" customHeight="1">
      <c r="B688" s="1536" t="s">
        <v>1239</v>
      </c>
      <c r="C688" s="1537"/>
      <c r="D688" s="262"/>
      <c r="E688" s="263"/>
      <c r="F688" s="269"/>
      <c r="G688" s="263"/>
      <c r="H688" s="269"/>
      <c r="I688" s="263"/>
      <c r="J688" s="269"/>
      <c r="K688" s="263"/>
      <c r="L688" s="269"/>
      <c r="M688" s="263"/>
      <c r="N688" s="269"/>
      <c r="O688" s="263"/>
      <c r="P688" s="269"/>
      <c r="Q688" s="263"/>
      <c r="R688" s="269"/>
      <c r="S688" s="263"/>
      <c r="T688" s="269"/>
      <c r="U688" s="263"/>
      <c r="V688" s="269"/>
      <c r="W688" s="263"/>
      <c r="X688" s="269"/>
      <c r="Y688" s="263"/>
      <c r="Z688" s="269"/>
      <c r="AA688" s="263"/>
      <c r="AB688" s="269"/>
      <c r="AC688" s="263"/>
      <c r="AD688" s="269"/>
      <c r="AE688" s="263"/>
      <c r="AF688" s="269"/>
      <c r="AG688" s="263"/>
      <c r="AH688" s="269"/>
      <c r="AI688" s="263"/>
    </row>
    <row r="689" spans="2:35">
      <c r="B689" s="364" t="s">
        <v>1040</v>
      </c>
      <c r="C689" s="263"/>
      <c r="D689" s="262">
        <f t="shared" si="44"/>
        <v>97076343</v>
      </c>
      <c r="E689" s="263"/>
      <c r="F689" s="262">
        <v>36023281</v>
      </c>
      <c r="G689" s="263"/>
      <c r="H689" s="262">
        <v>6589760</v>
      </c>
      <c r="I689" s="263"/>
      <c r="J689" s="262">
        <v>1708176</v>
      </c>
      <c r="K689" s="263"/>
      <c r="L689" s="262">
        <v>2283886</v>
      </c>
      <c r="M689" s="263"/>
      <c r="N689" s="262"/>
      <c r="O689" s="263"/>
      <c r="P689" s="262">
        <v>8922799</v>
      </c>
      <c r="Q689" s="263"/>
      <c r="R689" s="262">
        <v>1795703</v>
      </c>
      <c r="S689" s="263"/>
      <c r="T689" s="262">
        <v>9326747</v>
      </c>
      <c r="U689" s="263"/>
      <c r="V689" s="728">
        <v>7144880</v>
      </c>
      <c r="W689" s="263"/>
      <c r="X689" s="262">
        <v>1562184</v>
      </c>
      <c r="Y689" s="263"/>
      <c r="Z689" s="262">
        <v>4136271</v>
      </c>
      <c r="AA689" s="263"/>
      <c r="AB689" s="262"/>
      <c r="AC689" s="263"/>
      <c r="AD689" s="262">
        <v>8145158</v>
      </c>
      <c r="AE689" s="263"/>
      <c r="AF689" s="262">
        <v>8184219</v>
      </c>
      <c r="AG689" s="263"/>
      <c r="AH689" s="262">
        <v>1253279</v>
      </c>
      <c r="AI689" s="263"/>
    </row>
    <row r="690" spans="2:35">
      <c r="B690" s="364" t="s">
        <v>1052</v>
      </c>
      <c r="C690" s="263"/>
      <c r="D690" s="262">
        <f t="shared" si="44"/>
        <v>13965302</v>
      </c>
      <c r="E690" s="263"/>
      <c r="F690" s="262">
        <v>12286817</v>
      </c>
      <c r="G690" s="263"/>
      <c r="H690" s="262"/>
      <c r="I690" s="263"/>
      <c r="J690" s="262"/>
      <c r="K690" s="263"/>
      <c r="L690" s="262"/>
      <c r="M690" s="263"/>
      <c r="N690" s="262"/>
      <c r="O690" s="263"/>
      <c r="P690" s="262"/>
      <c r="Q690" s="263"/>
      <c r="R690" s="262"/>
      <c r="S690" s="263"/>
      <c r="T690" s="262"/>
      <c r="U690" s="263"/>
      <c r="V690" s="728"/>
      <c r="W690" s="263"/>
      <c r="X690" s="262"/>
      <c r="Y690" s="263"/>
      <c r="Z690" s="262"/>
      <c r="AA690" s="263"/>
      <c r="AB690" s="262"/>
      <c r="AC690" s="263"/>
      <c r="AD690" s="262"/>
      <c r="AE690" s="263"/>
      <c r="AF690" s="262"/>
      <c r="AG690" s="263"/>
      <c r="AH690" s="262">
        <v>1678485</v>
      </c>
      <c r="AI690" s="263"/>
    </row>
    <row r="691" spans="2:35">
      <c r="B691" s="364" t="s">
        <v>1177</v>
      </c>
      <c r="C691" s="263"/>
      <c r="D691" s="262">
        <f t="shared" si="44"/>
        <v>17987045</v>
      </c>
      <c r="E691" s="263"/>
      <c r="F691" s="262">
        <v>4873966</v>
      </c>
      <c r="G691" s="263"/>
      <c r="H691" s="262">
        <v>4724805</v>
      </c>
      <c r="I691" s="263"/>
      <c r="J691" s="262">
        <v>256711</v>
      </c>
      <c r="K691" s="263"/>
      <c r="L691" s="262">
        <v>356970</v>
      </c>
      <c r="M691" s="263"/>
      <c r="N691" s="262"/>
      <c r="O691" s="263"/>
      <c r="P691" s="262">
        <v>1201243</v>
      </c>
      <c r="Q691" s="263"/>
      <c r="R691" s="262">
        <v>255256</v>
      </c>
      <c r="S691" s="263"/>
      <c r="T691" s="262">
        <v>1449098</v>
      </c>
      <c r="U691" s="263"/>
      <c r="V691" s="728">
        <v>1019492</v>
      </c>
      <c r="W691" s="263"/>
      <c r="X691" s="262">
        <v>225350</v>
      </c>
      <c r="Y691" s="263"/>
      <c r="Z691" s="262">
        <v>519635</v>
      </c>
      <c r="AA691" s="263"/>
      <c r="AB691" s="262"/>
      <c r="AC691" s="263"/>
      <c r="AD691" s="262">
        <v>1139361</v>
      </c>
      <c r="AE691" s="263"/>
      <c r="AF691" s="262">
        <v>1093000</v>
      </c>
      <c r="AG691" s="263"/>
      <c r="AH691" s="262">
        <v>872158</v>
      </c>
      <c r="AI691" s="263"/>
    </row>
    <row r="692" spans="2:35" ht="12" thickBot="1">
      <c r="B692" s="364" t="s">
        <v>1041</v>
      </c>
      <c r="C692" s="263"/>
      <c r="D692" s="264">
        <f t="shared" si="44"/>
        <v>78835952</v>
      </c>
      <c r="E692" s="263">
        <f>SUM(D689:D692)</f>
        <v>207864642</v>
      </c>
      <c r="F692" s="264">
        <v>30993596</v>
      </c>
      <c r="G692" s="263">
        <f>SUM(F689:F692)</f>
        <v>84177660</v>
      </c>
      <c r="H692" s="264">
        <v>2270002</v>
      </c>
      <c r="I692" s="263">
        <f>SUM(H689:H692)</f>
        <v>13584567</v>
      </c>
      <c r="J692" s="264">
        <v>1473660</v>
      </c>
      <c r="K692" s="263">
        <f>SUM(J689:J692)</f>
        <v>3438547</v>
      </c>
      <c r="L692" s="264">
        <v>1980645</v>
      </c>
      <c r="M692" s="263">
        <f>SUM(L689:L692)</f>
        <v>4621501</v>
      </c>
      <c r="N692" s="264"/>
      <c r="O692" s="263">
        <f>SUM(N689:N692)</f>
        <v>0</v>
      </c>
      <c r="P692" s="264">
        <v>7593002</v>
      </c>
      <c r="Q692" s="263">
        <f>SUM(P689:P692)</f>
        <v>17717044</v>
      </c>
      <c r="R692" s="264">
        <v>875536</v>
      </c>
      <c r="S692" s="263">
        <f>SUM(R689:R692)</f>
        <v>2926495</v>
      </c>
      <c r="T692" s="264">
        <v>8081957</v>
      </c>
      <c r="U692" s="263">
        <f>SUM(T689:T692)</f>
        <v>18857802</v>
      </c>
      <c r="V692" s="264">
        <v>6009181</v>
      </c>
      <c r="W692" s="263">
        <f>SUM(V689:V692)</f>
        <v>14173553</v>
      </c>
      <c r="X692" s="264">
        <v>1340640</v>
      </c>
      <c r="Y692" s="263">
        <f>SUM(X689:X692)</f>
        <v>3128174</v>
      </c>
      <c r="Z692" s="264">
        <v>3490806</v>
      </c>
      <c r="AA692" s="263">
        <f>SUM(Z689:Z692)</f>
        <v>8146712</v>
      </c>
      <c r="AB692" s="264"/>
      <c r="AC692" s="263">
        <f>SUM(AB689:AB692)</f>
        <v>0</v>
      </c>
      <c r="AD692" s="264">
        <v>6963374</v>
      </c>
      <c r="AE692" s="263">
        <f>SUM(AD689:AD692)</f>
        <v>16247893</v>
      </c>
      <c r="AF692" s="264">
        <v>6963553</v>
      </c>
      <c r="AG692" s="263">
        <f>SUM(AF689:AF692)</f>
        <v>16240772</v>
      </c>
      <c r="AH692" s="264">
        <v>800000</v>
      </c>
      <c r="AI692" s="263">
        <f>SUM(AH689:AH692)</f>
        <v>4603922</v>
      </c>
    </row>
    <row r="693" spans="2:35">
      <c r="B693" s="377"/>
      <c r="C693" s="244"/>
      <c r="D693" s="237"/>
      <c r="E693" s="243"/>
      <c r="F693" s="244"/>
      <c r="G693" s="243"/>
      <c r="H693" s="244"/>
      <c r="I693" s="243"/>
      <c r="J693" s="244"/>
      <c r="K693" s="243"/>
      <c r="L693" s="244"/>
      <c r="M693" s="243"/>
      <c r="N693" s="244"/>
      <c r="O693" s="243"/>
      <c r="P693" s="244"/>
      <c r="Q693" s="243"/>
      <c r="R693" s="244"/>
      <c r="S693" s="243"/>
      <c r="T693" s="244"/>
      <c r="U693" s="243"/>
      <c r="V693" s="341"/>
      <c r="W693" s="243"/>
      <c r="X693" s="244"/>
      <c r="Y693" s="243"/>
      <c r="Z693" s="244"/>
      <c r="AA693" s="243"/>
      <c r="AB693" s="244"/>
      <c r="AC693" s="243"/>
      <c r="AD693" s="244"/>
      <c r="AE693" s="243"/>
      <c r="AF693" s="244"/>
      <c r="AG693" s="243"/>
      <c r="AH693" s="244"/>
      <c r="AI693" s="243"/>
    </row>
    <row r="694" spans="2:35">
      <c r="B694" s="422" t="s">
        <v>990</v>
      </c>
      <c r="C694" s="244"/>
      <c r="D694" s="237"/>
      <c r="E694" s="243">
        <f>G694+I694+K694+M694+O694+Q694+S694+U694+W694+Y694+AA694+AC694+AE694+AG694+AI694</f>
        <v>0</v>
      </c>
      <c r="F694" s="244"/>
      <c r="G694" s="243"/>
      <c r="H694" s="244"/>
      <c r="I694" s="243"/>
      <c r="J694" s="244"/>
      <c r="K694" s="243"/>
      <c r="L694" s="244"/>
      <c r="M694" s="243"/>
      <c r="N694" s="244"/>
      <c r="O694" s="243"/>
      <c r="P694" s="244"/>
      <c r="Q694" s="243"/>
      <c r="R694" s="244"/>
      <c r="S694" s="243"/>
      <c r="T694" s="244"/>
      <c r="U694" s="243"/>
      <c r="V694" s="341"/>
      <c r="W694" s="243"/>
      <c r="X694" s="244"/>
      <c r="Y694" s="243"/>
      <c r="Z694" s="244"/>
      <c r="AA694" s="243"/>
      <c r="AB694" s="244"/>
      <c r="AC694" s="243"/>
      <c r="AD694" s="244"/>
      <c r="AE694" s="243"/>
      <c r="AF694" s="244"/>
      <c r="AG694" s="243"/>
      <c r="AH694" s="244"/>
      <c r="AI694" s="243"/>
    </row>
    <row r="695" spans="2:35">
      <c r="B695" s="342"/>
      <c r="C695" s="244"/>
      <c r="D695" s="237"/>
      <c r="E695" s="243"/>
      <c r="F695" s="244"/>
      <c r="G695" s="243"/>
      <c r="H695" s="244"/>
      <c r="I695" s="243"/>
      <c r="J695" s="244"/>
      <c r="K695" s="243"/>
      <c r="L695" s="244"/>
      <c r="M695" s="243"/>
      <c r="N695" s="244"/>
      <c r="O695" s="243"/>
      <c r="P695" s="244"/>
      <c r="Q695" s="243"/>
      <c r="R695" s="244"/>
      <c r="S695" s="243"/>
      <c r="T695" s="244"/>
      <c r="U695" s="243"/>
      <c r="V695" s="341"/>
      <c r="W695" s="243"/>
      <c r="X695" s="244"/>
      <c r="Y695" s="243"/>
      <c r="Z695" s="244"/>
      <c r="AA695" s="243"/>
      <c r="AB695" s="244"/>
      <c r="AC695" s="243"/>
      <c r="AD695" s="244"/>
      <c r="AE695" s="243"/>
      <c r="AF695" s="244"/>
      <c r="AG695" s="243"/>
      <c r="AH695" s="244"/>
      <c r="AI695" s="243"/>
    </row>
    <row r="696" spans="2:35">
      <c r="B696" s="422" t="s">
        <v>991</v>
      </c>
      <c r="C696" s="244"/>
      <c r="D696" s="237"/>
      <c r="E696" s="243">
        <f>G696+I696+K696+M696+O696+Q696+S696+U696+W696+Y696+AA696+AC696+AE696+AG696+AI696</f>
        <v>32644819</v>
      </c>
      <c r="F696" s="244"/>
      <c r="G696" s="244">
        <f>12074553+30000</f>
        <v>12104553</v>
      </c>
      <c r="H696" s="237"/>
      <c r="I696" s="243">
        <f>1042339+10000</f>
        <v>1052339</v>
      </c>
      <c r="J696" s="244"/>
      <c r="K696" s="244">
        <v>508083</v>
      </c>
      <c r="L696" s="244"/>
      <c r="M696" s="243">
        <v>191720</v>
      </c>
      <c r="N696" s="244"/>
      <c r="O696" s="243"/>
      <c r="P696" s="244"/>
      <c r="Q696" s="243">
        <f>1916027+20000</f>
        <v>1936027</v>
      </c>
      <c r="R696" s="244"/>
      <c r="S696" s="243">
        <v>800646</v>
      </c>
      <c r="T696" s="244"/>
      <c r="U696" s="243">
        <v>3086718</v>
      </c>
      <c r="V696" s="341"/>
      <c r="W696" s="243">
        <v>1999154</v>
      </c>
      <c r="X696" s="244"/>
      <c r="Y696" s="243">
        <v>213541</v>
      </c>
      <c r="Z696" s="244"/>
      <c r="AA696" s="243">
        <v>1358764</v>
      </c>
      <c r="AB696" s="244"/>
      <c r="AC696" s="243"/>
      <c r="AD696" s="244"/>
      <c r="AE696" s="243">
        <v>2354541</v>
      </c>
      <c r="AF696" s="244"/>
      <c r="AG696" s="243">
        <f>6225533+30000</f>
        <v>6255533</v>
      </c>
      <c r="AH696" s="244"/>
      <c r="AI696" s="243">
        <v>783200</v>
      </c>
    </row>
    <row r="697" spans="2:35">
      <c r="B697" s="327"/>
      <c r="C697" s="244"/>
      <c r="D697" s="237"/>
      <c r="E697" s="243"/>
      <c r="F697" s="244"/>
      <c r="G697" s="243"/>
      <c r="H697" s="244"/>
      <c r="I697" s="243"/>
      <c r="J697" s="244"/>
      <c r="K697" s="243"/>
      <c r="L697" s="244"/>
      <c r="M697" s="243"/>
      <c r="N697" s="244"/>
      <c r="O697" s="243"/>
      <c r="P697" s="244"/>
      <c r="Q697" s="243"/>
      <c r="R697" s="244"/>
      <c r="S697" s="243"/>
      <c r="T697" s="244"/>
      <c r="U697" s="243"/>
      <c r="V697" s="341"/>
      <c r="W697" s="243"/>
      <c r="X697" s="244"/>
      <c r="Y697" s="243"/>
      <c r="Z697" s="244"/>
      <c r="AA697" s="243"/>
      <c r="AB697" s="244"/>
      <c r="AC697" s="243"/>
      <c r="AD697" s="244"/>
      <c r="AE697" s="243"/>
      <c r="AF697" s="244"/>
      <c r="AG697" s="243"/>
      <c r="AH697" s="244"/>
      <c r="AI697" s="243"/>
    </row>
    <row r="698" spans="2:35" ht="12" thickBot="1">
      <c r="B698" s="667" t="s">
        <v>806</v>
      </c>
      <c r="C698" s="244"/>
      <c r="D698" s="237"/>
      <c r="E698" s="246">
        <f>SUM(E678:E696)</f>
        <v>1918255630</v>
      </c>
      <c r="F698" s="244"/>
      <c r="G698" s="246">
        <f>SUM(G678:G696)</f>
        <v>723592035</v>
      </c>
      <c r="H698" s="244"/>
      <c r="I698" s="246">
        <f>SUM(I678:I696)</f>
        <v>132664752</v>
      </c>
      <c r="J698" s="244"/>
      <c r="K698" s="246">
        <f>SUM(K678:K696)</f>
        <v>31129796</v>
      </c>
      <c r="L698" s="244"/>
      <c r="M698" s="246">
        <f>SUM(M678:M696)</f>
        <v>43357170</v>
      </c>
      <c r="N698" s="244"/>
      <c r="O698" s="246">
        <f>SUM(O678:O696)</f>
        <v>0</v>
      </c>
      <c r="P698" s="244"/>
      <c r="Q698" s="246">
        <f>SUM(Q678:Q696)</f>
        <v>163882309</v>
      </c>
      <c r="R698" s="244"/>
      <c r="S698" s="246">
        <f>SUM(S678:S696)</f>
        <v>34467921</v>
      </c>
      <c r="T698" s="244"/>
      <c r="U698" s="246">
        <f>SUM(U678:U696)</f>
        <v>175472525</v>
      </c>
      <c r="V698" s="341"/>
      <c r="W698" s="246">
        <f>SUM(W678:W696)</f>
        <v>140706634</v>
      </c>
      <c r="X698" s="244"/>
      <c r="Y698" s="246">
        <f>SUM(Y678:Y696)</f>
        <v>27914815</v>
      </c>
      <c r="Z698" s="244"/>
      <c r="AA698" s="246">
        <f>SUM(AA678:AA696)</f>
        <v>81567038</v>
      </c>
      <c r="AB698" s="244"/>
      <c r="AC698" s="246">
        <f>SUM(AC678:AC696)</f>
        <v>0</v>
      </c>
      <c r="AD698" s="244"/>
      <c r="AE698" s="246">
        <f>SUM(AE678:AE696)</f>
        <v>159138626</v>
      </c>
      <c r="AF698" s="244"/>
      <c r="AG698" s="246">
        <f>SUM(AG678:AG696)</f>
        <v>171525961</v>
      </c>
      <c r="AH698" s="244"/>
      <c r="AI698" s="246">
        <f>SUM(AI678:AI696)</f>
        <v>32836048</v>
      </c>
    </row>
    <row r="699" spans="2:35" ht="12.75" thickTop="1" thickBot="1">
      <c r="B699" s="245"/>
      <c r="C699" s="248"/>
      <c r="D699" s="245"/>
      <c r="E699" s="247"/>
      <c r="F699" s="248"/>
      <c r="G699" s="247"/>
      <c r="H699" s="248"/>
      <c r="I699" s="247"/>
      <c r="J699" s="248"/>
      <c r="K699" s="247"/>
      <c r="L699" s="248"/>
      <c r="M699" s="247"/>
      <c r="N699" s="248"/>
      <c r="O699" s="247"/>
      <c r="P699" s="248"/>
      <c r="Q699" s="247"/>
      <c r="R699" s="248"/>
      <c r="S699" s="247"/>
      <c r="T699" s="248"/>
      <c r="U699" s="247"/>
      <c r="V699" s="384"/>
      <c r="W699" s="247"/>
      <c r="X699" s="248"/>
      <c r="Y699" s="247"/>
      <c r="Z699" s="248"/>
      <c r="AA699" s="247"/>
      <c r="AB699" s="248"/>
      <c r="AC699" s="247"/>
      <c r="AD699" s="248"/>
      <c r="AE699" s="247"/>
      <c r="AF699" s="248"/>
      <c r="AG699" s="247"/>
      <c r="AH699" s="248"/>
      <c r="AI699" s="247"/>
    </row>
    <row r="703" spans="2:35" ht="30" hidden="1" customHeight="1">
      <c r="B703" s="1475" t="s">
        <v>630</v>
      </c>
      <c r="C703" s="1475"/>
      <c r="D703" s="1475"/>
      <c r="E703" s="1475"/>
      <c r="F703" s="1475"/>
      <c r="G703" s="1475"/>
    </row>
    <row r="705" spans="2:35">
      <c r="B705" s="335" t="s">
        <v>557</v>
      </c>
    </row>
    <row r="706" spans="2:35" ht="12" thickBot="1">
      <c r="G706" s="335" t="s">
        <v>247</v>
      </c>
    </row>
    <row r="707" spans="2:35" ht="12" thickBot="1">
      <c r="B707" s="425"/>
      <c r="C707" s="274"/>
      <c r="D707" s="1463" t="s">
        <v>860</v>
      </c>
      <c r="E707" s="1464"/>
      <c r="F707" s="1463" t="s">
        <v>17</v>
      </c>
      <c r="G707" s="1464"/>
      <c r="H707" s="1463" t="s">
        <v>18</v>
      </c>
      <c r="I707" s="1464"/>
      <c r="J707" s="1463" t="s">
        <v>19</v>
      </c>
      <c r="K707" s="1464"/>
      <c r="L707" s="1463" t="s">
        <v>20</v>
      </c>
      <c r="M707" s="1464"/>
      <c r="N707" s="1463" t="s">
        <v>21</v>
      </c>
      <c r="O707" s="1464"/>
      <c r="P707" s="1463" t="s">
        <v>22</v>
      </c>
      <c r="Q707" s="1464"/>
      <c r="R707" s="1463" t="s">
        <v>23</v>
      </c>
      <c r="S707" s="1464"/>
      <c r="T707" s="1463" t="s">
        <v>24</v>
      </c>
      <c r="U707" s="1464"/>
      <c r="V707" s="1463" t="s">
        <v>25</v>
      </c>
      <c r="W707" s="1464"/>
      <c r="X707" s="1463" t="s">
        <v>26</v>
      </c>
      <c r="Y707" s="1464"/>
      <c r="Z707" s="1463" t="s">
        <v>27</v>
      </c>
      <c r="AA707" s="1464"/>
      <c r="AB707" s="1463"/>
      <c r="AC707" s="1464"/>
      <c r="AD707" s="1463" t="s">
        <v>1266</v>
      </c>
      <c r="AE707" s="1464"/>
      <c r="AF707" s="1463" t="s">
        <v>30</v>
      </c>
      <c r="AG707" s="1464"/>
      <c r="AH707" s="1463" t="s">
        <v>31</v>
      </c>
      <c r="AI707" s="1464"/>
    </row>
    <row r="708" spans="2:35">
      <c r="B708" s="450" t="s">
        <v>260</v>
      </c>
      <c r="C708" s="251"/>
      <c r="D708" s="249"/>
      <c r="E708" s="250">
        <f>G708+I708+K708+M708+O708+Q708+S708+U708+W708+Y708+AA708+AC708+AE708+AG708+AI708</f>
        <v>143751853</v>
      </c>
      <c r="F708" s="251"/>
      <c r="G708" s="250">
        <f>86500991-1970000</f>
        <v>84530991</v>
      </c>
      <c r="H708" s="251"/>
      <c r="I708" s="250">
        <v>1546188</v>
      </c>
      <c r="J708" s="251"/>
      <c r="K708" s="250">
        <v>2594515</v>
      </c>
      <c r="L708" s="251"/>
      <c r="M708" s="250">
        <v>8687011</v>
      </c>
      <c r="N708" s="251"/>
      <c r="O708" s="250"/>
      <c r="P708" s="251"/>
      <c r="Q708" s="250">
        <v>8476431</v>
      </c>
      <c r="R708" s="251"/>
      <c r="S708" s="250"/>
      <c r="T708" s="251"/>
      <c r="U708" s="250">
        <v>17835982</v>
      </c>
      <c r="V708" s="427"/>
      <c r="W708" s="250">
        <v>2731099</v>
      </c>
      <c r="X708" s="251"/>
      <c r="Y708" s="250">
        <v>5366052</v>
      </c>
      <c r="Z708" s="251"/>
      <c r="AA708" s="250">
        <v>364551</v>
      </c>
      <c r="AB708" s="251"/>
      <c r="AC708" s="250"/>
      <c r="AD708" s="251"/>
      <c r="AE708" s="250">
        <v>3140715</v>
      </c>
      <c r="AF708" s="251"/>
      <c r="AG708" s="250">
        <v>8465817</v>
      </c>
      <c r="AH708" s="251"/>
      <c r="AI708" s="250">
        <v>12501</v>
      </c>
    </row>
    <row r="709" spans="2:35">
      <c r="B709" s="422" t="s">
        <v>261</v>
      </c>
      <c r="C709" s="244"/>
      <c r="D709" s="237"/>
      <c r="E709" s="243">
        <f>G709+I709+K709+M709+O709+Q709+S709+U709+W709+Y709+AA709+AC709+AE709+AG709+AI709</f>
        <v>0</v>
      </c>
      <c r="F709" s="244"/>
      <c r="G709" s="243"/>
      <c r="H709" s="244"/>
      <c r="I709" s="243"/>
      <c r="J709" s="244"/>
      <c r="K709" s="243"/>
      <c r="L709" s="244"/>
      <c r="M709" s="243"/>
      <c r="N709" s="244"/>
      <c r="O709" s="243"/>
      <c r="P709" s="244"/>
      <c r="Q709" s="243"/>
      <c r="R709" s="244"/>
      <c r="S709" s="243"/>
      <c r="T709" s="244"/>
      <c r="U709" s="243"/>
      <c r="V709" s="341"/>
      <c r="W709" s="243"/>
      <c r="X709" s="244"/>
      <c r="Y709" s="243"/>
      <c r="Z709" s="244"/>
      <c r="AA709" s="243"/>
      <c r="AB709" s="244"/>
      <c r="AC709" s="243"/>
      <c r="AD709" s="244"/>
      <c r="AE709" s="243"/>
      <c r="AF709" s="244"/>
      <c r="AG709" s="243"/>
      <c r="AH709" s="244"/>
      <c r="AI709" s="243"/>
    </row>
    <row r="710" spans="2:35" ht="24" customHeight="1">
      <c r="B710" s="1438" t="s">
        <v>262</v>
      </c>
      <c r="C710" s="1439"/>
      <c r="D710" s="237"/>
      <c r="E710" s="243">
        <f>G710+I710+K710+M710+O710+Q710+S710+U710+W710+Y710+AA710+AC710+AE710+AG710+AI710</f>
        <v>0</v>
      </c>
      <c r="F710" s="244"/>
      <c r="G710" s="243"/>
      <c r="H710" s="244"/>
      <c r="I710" s="243"/>
      <c r="J710" s="244"/>
      <c r="K710" s="243"/>
      <c r="L710" s="244"/>
      <c r="M710" s="243"/>
      <c r="N710" s="244"/>
      <c r="O710" s="243"/>
      <c r="P710" s="244"/>
      <c r="Q710" s="243"/>
      <c r="R710" s="244"/>
      <c r="S710" s="243"/>
      <c r="T710" s="244"/>
      <c r="U710" s="243"/>
      <c r="V710" s="341"/>
      <c r="W710" s="243"/>
      <c r="X710" s="244"/>
      <c r="Y710" s="243"/>
      <c r="Z710" s="244"/>
      <c r="AA710" s="243"/>
      <c r="AB710" s="244"/>
      <c r="AC710" s="243"/>
      <c r="AD710" s="244"/>
      <c r="AE710" s="243"/>
      <c r="AF710" s="244"/>
      <c r="AG710" s="243"/>
      <c r="AH710" s="244"/>
      <c r="AI710" s="243"/>
    </row>
    <row r="711" spans="2:35">
      <c r="B711" s="327" t="s">
        <v>992</v>
      </c>
      <c r="C711" s="244"/>
      <c r="D711" s="237"/>
      <c r="E711" s="243">
        <f>G711+I711+K711+M711+O711+Q711+S711+U711+W711+Y711+AA711+AC711+AE711+AG711+AI711</f>
        <v>26462416</v>
      </c>
      <c r="F711" s="244"/>
      <c r="G711" s="243">
        <v>9712862</v>
      </c>
      <c r="H711" s="244"/>
      <c r="I711" s="243">
        <v>-139468</v>
      </c>
      <c r="J711" s="244"/>
      <c r="K711" s="243"/>
      <c r="L711" s="244"/>
      <c r="M711" s="243">
        <v>16369801</v>
      </c>
      <c r="N711" s="244"/>
      <c r="O711" s="243"/>
      <c r="P711" s="244"/>
      <c r="Q711" s="243">
        <v>92231</v>
      </c>
      <c r="R711" s="244"/>
      <c r="S711" s="243"/>
      <c r="T711" s="244"/>
      <c r="U711" s="243"/>
      <c r="V711" s="341"/>
      <c r="W711" s="243">
        <v>426990</v>
      </c>
      <c r="X711" s="244"/>
      <c r="Y711" s="243"/>
      <c r="Z711" s="244"/>
      <c r="AA711" s="243"/>
      <c r="AB711" s="244"/>
      <c r="AC711" s="243"/>
      <c r="AD711" s="244"/>
      <c r="AE711" s="243"/>
      <c r="AF711" s="244"/>
      <c r="AG711" s="243"/>
      <c r="AH711" s="244"/>
      <c r="AI711" s="243"/>
    </row>
    <row r="712" spans="2:35" ht="12" thickBot="1">
      <c r="B712" s="235" t="s">
        <v>806</v>
      </c>
      <c r="C712" s="248"/>
      <c r="D712" s="245"/>
      <c r="E712" s="252">
        <f>SUM(E708:E711)</f>
        <v>170214269</v>
      </c>
      <c r="F712" s="248"/>
      <c r="G712" s="252">
        <f>SUM(G708:G711)</f>
        <v>94243853</v>
      </c>
      <c r="H712" s="248"/>
      <c r="I712" s="252">
        <f>SUM(I708:I711)</f>
        <v>1406720</v>
      </c>
      <c r="J712" s="248"/>
      <c r="K712" s="252">
        <f>SUM(K708:K711)</f>
        <v>2594515</v>
      </c>
      <c r="L712" s="248"/>
      <c r="M712" s="252">
        <f>SUM(M708:M711)</f>
        <v>25056812</v>
      </c>
      <c r="N712" s="248"/>
      <c r="O712" s="252">
        <f>SUM(O708:O711)</f>
        <v>0</v>
      </c>
      <c r="P712" s="248"/>
      <c r="Q712" s="252">
        <f>SUM(Q708:Q711)</f>
        <v>8568662</v>
      </c>
      <c r="R712" s="248"/>
      <c r="S712" s="252">
        <f>SUM(S708:S711)</f>
        <v>0</v>
      </c>
      <c r="T712" s="248"/>
      <c r="U712" s="252">
        <f>SUM(U708:U711)</f>
        <v>17835982</v>
      </c>
      <c r="V712" s="384"/>
      <c r="W712" s="252">
        <f>SUM(W708:W711)</f>
        <v>3158089</v>
      </c>
      <c r="X712" s="248"/>
      <c r="Y712" s="252">
        <f>SUM(Y708:Y711)</f>
        <v>5366052</v>
      </c>
      <c r="Z712" s="248"/>
      <c r="AA712" s="252">
        <f>SUM(AA708:AA711)</f>
        <v>364551</v>
      </c>
      <c r="AB712" s="248"/>
      <c r="AC712" s="252">
        <f>SUM(AC708:AC711)</f>
        <v>0</v>
      </c>
      <c r="AD712" s="248"/>
      <c r="AE712" s="252">
        <f>SUM(AE708:AE711)</f>
        <v>3140715</v>
      </c>
      <c r="AF712" s="248"/>
      <c r="AG712" s="252">
        <f>SUM(AG708:AG711)</f>
        <v>8465817</v>
      </c>
      <c r="AH712" s="248"/>
      <c r="AI712" s="252">
        <f>SUM(AI708:AI711)</f>
        <v>12501</v>
      </c>
    </row>
    <row r="714" spans="2:35" hidden="1">
      <c r="B714" s="404" t="s">
        <v>263</v>
      </c>
      <c r="C714" s="404"/>
      <c r="D714" s="404"/>
      <c r="E714" s="404"/>
      <c r="F714" s="404"/>
      <c r="G714" s="404"/>
    </row>
    <row r="715" spans="2:35" hidden="1"/>
    <row r="716" spans="2:35" hidden="1">
      <c r="B716" s="404" t="s">
        <v>264</v>
      </c>
      <c r="C716" s="404"/>
      <c r="D716" s="404"/>
      <c r="E716" s="404"/>
      <c r="F716" s="404"/>
      <c r="G716" s="404"/>
    </row>
    <row r="717" spans="2:35" hidden="1"/>
    <row r="718" spans="2:35" ht="38.25" hidden="1" customHeight="1">
      <c r="B718" s="1475" t="s">
        <v>934</v>
      </c>
      <c r="C718" s="1475"/>
      <c r="D718" s="1475"/>
      <c r="E718" s="1475"/>
      <c r="F718" s="1475"/>
      <c r="G718" s="1475"/>
    </row>
    <row r="720" spans="2:35">
      <c r="B720" s="318" t="s">
        <v>371</v>
      </c>
    </row>
    <row r="721" spans="2:35" ht="12" thickBot="1">
      <c r="G721" s="335" t="s">
        <v>247</v>
      </c>
    </row>
    <row r="722" spans="2:35" ht="12" thickBot="1">
      <c r="B722" s="425"/>
      <c r="C722" s="274"/>
      <c r="D722" s="1463" t="s">
        <v>860</v>
      </c>
      <c r="E722" s="1464"/>
      <c r="F722" s="1463" t="s">
        <v>17</v>
      </c>
      <c r="G722" s="1464"/>
      <c r="H722" s="1463" t="s">
        <v>18</v>
      </c>
      <c r="I722" s="1464"/>
      <c r="J722" s="1473" t="s">
        <v>19</v>
      </c>
      <c r="K722" s="1474"/>
      <c r="L722" s="1463" t="s">
        <v>20</v>
      </c>
      <c r="M722" s="1464"/>
      <c r="N722" s="1463" t="s">
        <v>21</v>
      </c>
      <c r="O722" s="1464"/>
      <c r="P722" s="1463" t="s">
        <v>22</v>
      </c>
      <c r="Q722" s="1464"/>
      <c r="R722" s="1463" t="s">
        <v>23</v>
      </c>
      <c r="S722" s="1464"/>
      <c r="T722" s="1463" t="s">
        <v>24</v>
      </c>
      <c r="U722" s="1464"/>
      <c r="V722" s="1463" t="s">
        <v>25</v>
      </c>
      <c r="W722" s="1464"/>
      <c r="X722" s="1463" t="s">
        <v>26</v>
      </c>
      <c r="Y722" s="1464"/>
      <c r="Z722" s="1463" t="s">
        <v>27</v>
      </c>
      <c r="AA722" s="1464"/>
      <c r="AB722" s="1463"/>
      <c r="AC722" s="1464"/>
      <c r="AD722" s="1463" t="s">
        <v>1266</v>
      </c>
      <c r="AE722" s="1464"/>
      <c r="AF722" s="1463" t="s">
        <v>30</v>
      </c>
      <c r="AG722" s="1464"/>
      <c r="AH722" s="1463" t="s">
        <v>31</v>
      </c>
      <c r="AI722" s="1464"/>
    </row>
    <row r="723" spans="2:35">
      <c r="B723" s="445" t="s">
        <v>266</v>
      </c>
      <c r="C723" s="251"/>
      <c r="D723" s="249"/>
      <c r="E723" s="250"/>
      <c r="F723" s="251"/>
      <c r="G723" s="250"/>
      <c r="H723" s="251"/>
      <c r="I723" s="251"/>
      <c r="J723" s="249"/>
      <c r="K723" s="250"/>
      <c r="L723" s="251"/>
      <c r="M723" s="250"/>
      <c r="N723" s="251"/>
      <c r="O723" s="250"/>
      <c r="P723" s="251"/>
      <c r="Q723" s="250"/>
      <c r="R723" s="251"/>
      <c r="S723" s="250"/>
      <c r="T723" s="251"/>
      <c r="U723" s="250"/>
      <c r="V723" s="427"/>
      <c r="W723" s="250"/>
      <c r="X723" s="251"/>
      <c r="Y723" s="250"/>
      <c r="Z723" s="251"/>
      <c r="AA723" s="250"/>
      <c r="AB723" s="251"/>
      <c r="AC723" s="250"/>
      <c r="AD723" s="251"/>
      <c r="AE723" s="250"/>
      <c r="AF723" s="251"/>
      <c r="AG723" s="250"/>
      <c r="AH723" s="251"/>
      <c r="AI723" s="250"/>
    </row>
    <row r="724" spans="2:35">
      <c r="B724" s="364" t="s">
        <v>267</v>
      </c>
      <c r="C724" s="244"/>
      <c r="D724" s="237">
        <f t="shared" ref="D724:D734" si="45">F724+H724+J724+L724+N724+P724+R724+T724+V724+X724+Z724+AB724+AD724+AF724+AH724</f>
        <v>4991723120</v>
      </c>
      <c r="E724" s="243"/>
      <c r="F724" s="244"/>
      <c r="G724" s="243"/>
      <c r="H724" s="244">
        <v>40840</v>
      </c>
      <c r="I724" s="244"/>
      <c r="J724" s="237">
        <v>3995450778</v>
      </c>
      <c r="K724" s="243"/>
      <c r="L724" s="244">
        <v>126961</v>
      </c>
      <c r="M724" s="243"/>
      <c r="N724" s="244"/>
      <c r="O724" s="243"/>
      <c r="P724" s="244">
        <v>413643</v>
      </c>
      <c r="Q724" s="243"/>
      <c r="R724" s="244"/>
      <c r="S724" s="243"/>
      <c r="T724" s="244">
        <v>995651018</v>
      </c>
      <c r="U724" s="243"/>
      <c r="V724" s="341">
        <v>39880</v>
      </c>
      <c r="W724" s="243"/>
      <c r="X724" s="244"/>
      <c r="Y724" s="243"/>
      <c r="Z724" s="244"/>
      <c r="AA724" s="243"/>
      <c r="AB724" s="244"/>
      <c r="AC724" s="243"/>
      <c r="AD724" s="244"/>
      <c r="AE724" s="243"/>
      <c r="AF724" s="244"/>
      <c r="AG724" s="243"/>
      <c r="AH724" s="244"/>
      <c r="AI724" s="243"/>
    </row>
    <row r="725" spans="2:35">
      <c r="B725" s="364" t="s">
        <v>268</v>
      </c>
      <c r="C725" s="244"/>
      <c r="D725" s="237">
        <f t="shared" si="45"/>
        <v>161378</v>
      </c>
      <c r="E725" s="243"/>
      <c r="F725" s="244"/>
      <c r="G725" s="243"/>
      <c r="H725" s="244"/>
      <c r="I725" s="244"/>
      <c r="J725" s="237"/>
      <c r="K725" s="243"/>
      <c r="L725" s="244"/>
      <c r="M725" s="243"/>
      <c r="N725" s="244"/>
      <c r="O725" s="243"/>
      <c r="P725" s="244">
        <v>161378</v>
      </c>
      <c r="Q725" s="243"/>
      <c r="R725" s="244"/>
      <c r="S725" s="243"/>
      <c r="T725" s="244"/>
      <c r="U725" s="243"/>
      <c r="V725" s="341"/>
      <c r="W725" s="243"/>
      <c r="X725" s="244"/>
      <c r="Y725" s="243"/>
      <c r="Z725" s="244"/>
      <c r="AA725" s="243"/>
      <c r="AB725" s="244"/>
      <c r="AC725" s="243"/>
      <c r="AD725" s="244"/>
      <c r="AE725" s="243"/>
      <c r="AF725" s="244"/>
      <c r="AG725" s="243"/>
      <c r="AH725" s="244"/>
      <c r="AI725" s="243"/>
    </row>
    <row r="726" spans="2:35" ht="21">
      <c r="B726" s="364" t="s">
        <v>269</v>
      </c>
      <c r="C726" s="244"/>
      <c r="D726" s="237">
        <f t="shared" si="45"/>
        <v>1059168410</v>
      </c>
      <c r="E726" s="243"/>
      <c r="F726" s="244">
        <v>31573</v>
      </c>
      <c r="G726" s="243"/>
      <c r="H726" s="244">
        <v>11622451</v>
      </c>
      <c r="I726" s="244"/>
      <c r="J726" s="237">
        <v>743988630</v>
      </c>
      <c r="K726" s="243"/>
      <c r="L726" s="244">
        <v>1499497</v>
      </c>
      <c r="M726" s="243"/>
      <c r="N726" s="244"/>
      <c r="O726" s="243"/>
      <c r="P726" s="244">
        <v>15518063</v>
      </c>
      <c r="Q726" s="243"/>
      <c r="R726" s="244">
        <v>112769</v>
      </c>
      <c r="S726" s="243"/>
      <c r="T726" s="244">
        <v>240813653</v>
      </c>
      <c r="U726" s="243"/>
      <c r="V726" s="341">
        <v>6848297</v>
      </c>
      <c r="W726" s="243"/>
      <c r="X726" s="244">
        <v>40139</v>
      </c>
      <c r="Y726" s="243"/>
      <c r="Z726" s="244">
        <v>24982133</v>
      </c>
      <c r="AA726" s="243"/>
      <c r="AB726" s="244"/>
      <c r="AC726" s="243"/>
      <c r="AD726" s="244">
        <v>12208017</v>
      </c>
      <c r="AE726" s="243"/>
      <c r="AF726" s="244">
        <v>1503188</v>
      </c>
      <c r="AG726" s="243"/>
      <c r="AH726" s="244"/>
      <c r="AI726" s="243"/>
    </row>
    <row r="727" spans="2:35">
      <c r="B727" s="364" t="s">
        <v>270</v>
      </c>
      <c r="C727" s="244"/>
      <c r="D727" s="237">
        <f t="shared" si="45"/>
        <v>10573188</v>
      </c>
      <c r="E727" s="243"/>
      <c r="F727" s="244"/>
      <c r="G727" s="243"/>
      <c r="H727" s="244">
        <v>192882</v>
      </c>
      <c r="I727" s="244"/>
      <c r="J727" s="237">
        <v>331629</v>
      </c>
      <c r="K727" s="243"/>
      <c r="L727" s="244">
        <v>1479892</v>
      </c>
      <c r="M727" s="243"/>
      <c r="N727" s="244"/>
      <c r="O727" s="243"/>
      <c r="P727" s="244">
        <v>736858</v>
      </c>
      <c r="Q727" s="243"/>
      <c r="R727" s="244">
        <v>3957</v>
      </c>
      <c r="S727" s="243"/>
      <c r="T727" s="244">
        <v>4525092</v>
      </c>
      <c r="U727" s="243"/>
      <c r="V727" s="341">
        <v>4707</v>
      </c>
      <c r="W727" s="243"/>
      <c r="X727" s="244">
        <v>69104</v>
      </c>
      <c r="Y727" s="243"/>
      <c r="Z727" s="244">
        <v>306318</v>
      </c>
      <c r="AA727" s="243"/>
      <c r="AB727" s="244"/>
      <c r="AC727" s="243"/>
      <c r="AD727" s="244">
        <v>466146</v>
      </c>
      <c r="AE727" s="243"/>
      <c r="AF727" s="244">
        <v>2456603</v>
      </c>
      <c r="AG727" s="243"/>
      <c r="AH727" s="244"/>
      <c r="AI727" s="243"/>
    </row>
    <row r="728" spans="2:35">
      <c r="B728" s="364" t="s">
        <v>387</v>
      </c>
      <c r="C728" s="244"/>
      <c r="D728" s="237">
        <f t="shared" si="45"/>
        <v>41199281</v>
      </c>
      <c r="E728" s="243"/>
      <c r="F728" s="244">
        <v>-91892</v>
      </c>
      <c r="G728" s="243"/>
      <c r="H728" s="244">
        <v>-215382</v>
      </c>
      <c r="I728" s="244"/>
      <c r="J728" s="237">
        <v>90454889</v>
      </c>
      <c r="K728" s="243"/>
      <c r="L728" s="244">
        <v>6467822</v>
      </c>
      <c r="M728" s="243"/>
      <c r="N728" s="244"/>
      <c r="O728" s="243"/>
      <c r="P728" s="244">
        <v>-13488314</v>
      </c>
      <c r="Q728" s="243"/>
      <c r="R728" s="244"/>
      <c r="S728" s="243"/>
      <c r="T728" s="244">
        <v>-41322449</v>
      </c>
      <c r="U728" s="243"/>
      <c r="V728" s="341">
        <v>-7935944</v>
      </c>
      <c r="W728" s="243"/>
      <c r="X728" s="244"/>
      <c r="Y728" s="243"/>
      <c r="Z728" s="244">
        <v>264285</v>
      </c>
      <c r="AA728" s="243"/>
      <c r="AB728" s="244"/>
      <c r="AC728" s="243"/>
      <c r="AD728" s="244">
        <v>-208502</v>
      </c>
      <c r="AE728" s="243"/>
      <c r="AF728" s="244">
        <v>7274768</v>
      </c>
      <c r="AG728" s="243"/>
      <c r="AH728" s="244"/>
      <c r="AI728" s="243"/>
    </row>
    <row r="729" spans="2:35">
      <c r="B729" s="364" t="s">
        <v>271</v>
      </c>
      <c r="C729" s="244"/>
      <c r="D729" s="237">
        <f t="shared" si="45"/>
        <v>3783781967</v>
      </c>
      <c r="E729" s="243"/>
      <c r="F729" s="244"/>
      <c r="G729" s="243"/>
      <c r="H729" s="244">
        <v>121476472</v>
      </c>
      <c r="I729" s="244"/>
      <c r="J729" s="237">
        <v>766505545</v>
      </c>
      <c r="K729" s="243"/>
      <c r="L729" s="244">
        <v>911994886</v>
      </c>
      <c r="M729" s="243"/>
      <c r="N729" s="244"/>
      <c r="O729" s="243"/>
      <c r="P729" s="244">
        <v>346421176</v>
      </c>
      <c r="Q729" s="243"/>
      <c r="R729" s="244"/>
      <c r="S729" s="243"/>
      <c r="T729" s="244"/>
      <c r="U729" s="243"/>
      <c r="V729" s="341">
        <v>472808647</v>
      </c>
      <c r="W729" s="243"/>
      <c r="X729" s="244">
        <v>1929967</v>
      </c>
      <c r="Y729" s="243"/>
      <c r="Z729" s="244">
        <v>48146434</v>
      </c>
      <c r="AA729" s="243"/>
      <c r="AB729" s="244"/>
      <c r="AC729" s="243"/>
      <c r="AD729" s="244">
        <v>731776563</v>
      </c>
      <c r="AE729" s="243"/>
      <c r="AF729" s="244">
        <v>382722277</v>
      </c>
      <c r="AG729" s="243"/>
      <c r="AH729" s="244"/>
      <c r="AI729" s="243"/>
    </row>
    <row r="730" spans="2:35">
      <c r="B730" s="364" t="s">
        <v>272</v>
      </c>
      <c r="C730" s="244"/>
      <c r="D730" s="237">
        <f t="shared" si="45"/>
        <v>7634421</v>
      </c>
      <c r="E730" s="243"/>
      <c r="F730" s="244"/>
      <c r="G730" s="243"/>
      <c r="H730" s="244">
        <v>3219</v>
      </c>
      <c r="I730" s="244"/>
      <c r="J730" s="237">
        <v>2442488</v>
      </c>
      <c r="K730" s="243"/>
      <c r="L730" s="244">
        <v>17333</v>
      </c>
      <c r="M730" s="243"/>
      <c r="N730" s="244"/>
      <c r="O730" s="243"/>
      <c r="P730" s="244">
        <v>-209769</v>
      </c>
      <c r="Q730" s="243"/>
      <c r="R730" s="244"/>
      <c r="S730" s="243"/>
      <c r="T730" s="244">
        <v>1990134</v>
      </c>
      <c r="U730" s="243"/>
      <c r="V730" s="341">
        <v>101928</v>
      </c>
      <c r="W730" s="243"/>
      <c r="X730" s="244"/>
      <c r="Y730" s="243"/>
      <c r="Z730" s="244"/>
      <c r="AA730" s="243"/>
      <c r="AB730" s="244"/>
      <c r="AC730" s="243"/>
      <c r="AD730" s="244">
        <v>2599591</v>
      </c>
      <c r="AE730" s="243"/>
      <c r="AF730" s="244">
        <v>689497</v>
      </c>
      <c r="AG730" s="243"/>
      <c r="AH730" s="244"/>
      <c r="AI730" s="243"/>
    </row>
    <row r="731" spans="2:35">
      <c r="B731" s="364" t="s">
        <v>273</v>
      </c>
      <c r="C731" s="244"/>
      <c r="D731" s="237">
        <f t="shared" si="45"/>
        <v>6919231</v>
      </c>
      <c r="E731" s="243"/>
      <c r="F731" s="244"/>
      <c r="G731" s="243"/>
      <c r="H731" s="244">
        <v>442425</v>
      </c>
      <c r="I731" s="244"/>
      <c r="J731" s="237">
        <v>63657</v>
      </c>
      <c r="K731" s="243"/>
      <c r="L731" s="244">
        <v>1208438</v>
      </c>
      <c r="M731" s="243"/>
      <c r="N731" s="244"/>
      <c r="O731" s="243"/>
      <c r="P731" s="244">
        <v>2562816</v>
      </c>
      <c r="Q731" s="243"/>
      <c r="R731" s="244"/>
      <c r="S731" s="243"/>
      <c r="T731" s="244"/>
      <c r="U731" s="243"/>
      <c r="V731" s="341">
        <v>539834</v>
      </c>
      <c r="W731" s="243"/>
      <c r="X731" s="244">
        <v>193874</v>
      </c>
      <c r="Y731" s="243"/>
      <c r="Z731" s="244">
        <v>1855561</v>
      </c>
      <c r="AA731" s="243"/>
      <c r="AB731" s="244"/>
      <c r="AC731" s="243"/>
      <c r="AD731" s="244">
        <v>23078</v>
      </c>
      <c r="AE731" s="243"/>
      <c r="AF731" s="244">
        <v>29548</v>
      </c>
      <c r="AG731" s="243"/>
      <c r="AH731" s="244"/>
      <c r="AI731" s="243"/>
    </row>
    <row r="732" spans="2:35">
      <c r="B732" s="364" t="s">
        <v>274</v>
      </c>
      <c r="C732" s="244"/>
      <c r="D732" s="237">
        <f t="shared" si="45"/>
        <v>14177440</v>
      </c>
      <c r="E732" s="243"/>
      <c r="F732" s="244"/>
      <c r="G732" s="243"/>
      <c r="H732" s="244">
        <v>184831</v>
      </c>
      <c r="I732" s="244"/>
      <c r="J732" s="237"/>
      <c r="K732" s="243"/>
      <c r="L732" s="244">
        <v>271133</v>
      </c>
      <c r="M732" s="243"/>
      <c r="N732" s="244"/>
      <c r="O732" s="243"/>
      <c r="P732" s="244">
        <v>214852</v>
      </c>
      <c r="Q732" s="243"/>
      <c r="R732" s="244">
        <v>89888</v>
      </c>
      <c r="S732" s="243"/>
      <c r="T732" s="244">
        <v>2835451</v>
      </c>
      <c r="U732" s="243"/>
      <c r="V732" s="341">
        <v>794172</v>
      </c>
      <c r="W732" s="243"/>
      <c r="X732" s="244">
        <v>21837</v>
      </c>
      <c r="Y732" s="243"/>
      <c r="Z732" s="244">
        <v>9421188</v>
      </c>
      <c r="AA732" s="243"/>
      <c r="AB732" s="244"/>
      <c r="AC732" s="243"/>
      <c r="AD732" s="244"/>
      <c r="AE732" s="243"/>
      <c r="AF732" s="244">
        <v>344088</v>
      </c>
      <c r="AG732" s="243"/>
      <c r="AH732" s="244"/>
      <c r="AI732" s="243"/>
    </row>
    <row r="733" spans="2:35">
      <c r="B733" s="364" t="s">
        <v>600</v>
      </c>
      <c r="C733" s="244"/>
      <c r="D733" s="237">
        <f t="shared" si="45"/>
        <v>8183220</v>
      </c>
      <c r="E733" s="243"/>
      <c r="F733" s="244"/>
      <c r="G733" s="243"/>
      <c r="H733" s="244"/>
      <c r="I733" s="244"/>
      <c r="J733" s="237"/>
      <c r="K733" s="243"/>
      <c r="L733" s="244">
        <v>4253436</v>
      </c>
      <c r="M733" s="243"/>
      <c r="N733" s="244"/>
      <c r="O733" s="243"/>
      <c r="P733" s="244"/>
      <c r="Q733" s="243"/>
      <c r="R733" s="244"/>
      <c r="S733" s="243"/>
      <c r="T733" s="244"/>
      <c r="U733" s="243"/>
      <c r="V733" s="341"/>
      <c r="W733" s="243"/>
      <c r="X733" s="244"/>
      <c r="Y733" s="243"/>
      <c r="Z733" s="244"/>
      <c r="AA733" s="243"/>
      <c r="AB733" s="244"/>
      <c r="AC733" s="243"/>
      <c r="AD733" s="244">
        <v>3929784</v>
      </c>
      <c r="AE733" s="243"/>
      <c r="AF733" s="244"/>
      <c r="AG733" s="243"/>
      <c r="AH733" s="244"/>
      <c r="AI733" s="243"/>
    </row>
    <row r="734" spans="2:35" ht="21.75" thickBot="1">
      <c r="B734" s="364" t="s">
        <v>275</v>
      </c>
      <c r="C734" s="244"/>
      <c r="D734" s="245">
        <f t="shared" si="45"/>
        <v>667831</v>
      </c>
      <c r="E734" s="243">
        <f>+SUM(D724:D734)</f>
        <v>9924189487</v>
      </c>
      <c r="F734" s="245"/>
      <c r="G734" s="243">
        <f>+SUM(F724:F734)</f>
        <v>-60319</v>
      </c>
      <c r="H734" s="245"/>
      <c r="I734" s="243">
        <f t="shared" ref="I734" si="46">+SUM(H724:H734)</f>
        <v>133747738</v>
      </c>
      <c r="J734" s="245"/>
      <c r="K734" s="243">
        <f t="shared" ref="K734" si="47">+SUM(J724:J734)</f>
        <v>5599237616</v>
      </c>
      <c r="L734" s="245"/>
      <c r="M734" s="243">
        <f t="shared" ref="M734" si="48">+SUM(L724:L734)</f>
        <v>927319398</v>
      </c>
      <c r="N734" s="245"/>
      <c r="O734" s="243">
        <f t="shared" ref="O734" si="49">+SUM(N724:N734)</f>
        <v>0</v>
      </c>
      <c r="P734" s="245"/>
      <c r="Q734" s="243">
        <f t="shared" ref="Q734" si="50">+SUM(P724:P734)</f>
        <v>352330703</v>
      </c>
      <c r="R734" s="245"/>
      <c r="S734" s="243">
        <f t="shared" ref="S734" si="51">+SUM(R724:R734)</f>
        <v>206614</v>
      </c>
      <c r="T734" s="245"/>
      <c r="U734" s="243">
        <f t="shared" ref="U734" si="52">+SUM(T724:T734)</f>
        <v>1204492899</v>
      </c>
      <c r="V734" s="245"/>
      <c r="W734" s="243">
        <f t="shared" ref="W734" si="53">+SUM(V724:V734)</f>
        <v>473201521</v>
      </c>
      <c r="X734" s="245"/>
      <c r="Y734" s="243">
        <f t="shared" ref="Y734" si="54">+SUM(X724:X734)</f>
        <v>2254921</v>
      </c>
      <c r="Z734" s="245">
        <v>667831</v>
      </c>
      <c r="AA734" s="243">
        <f t="shared" ref="AA734" si="55">+SUM(Z724:Z734)</f>
        <v>85643750</v>
      </c>
      <c r="AB734" s="245"/>
      <c r="AC734" s="243">
        <f t="shared" ref="AC734" si="56">+SUM(AB724:AB734)</f>
        <v>0</v>
      </c>
      <c r="AD734" s="245"/>
      <c r="AE734" s="243">
        <f t="shared" ref="AE734" si="57">+SUM(AD724:AD734)</f>
        <v>750794677</v>
      </c>
      <c r="AF734" s="245"/>
      <c r="AG734" s="243">
        <f t="shared" ref="AG734" si="58">+SUM(AF724:AF734)</f>
        <v>395019969</v>
      </c>
      <c r="AH734" s="245"/>
      <c r="AI734" s="243">
        <f t="shared" ref="AI734" si="59">+SUM(AH724:AH734)</f>
        <v>0</v>
      </c>
    </row>
    <row r="735" spans="2:35">
      <c r="B735" s="422"/>
      <c r="C735" s="244"/>
      <c r="D735" s="237"/>
      <c r="E735" s="243"/>
      <c r="F735" s="237"/>
      <c r="G735" s="243"/>
      <c r="H735" s="237"/>
      <c r="I735" s="244"/>
      <c r="J735" s="237"/>
      <c r="K735" s="243"/>
      <c r="L735" s="244"/>
      <c r="M735" s="243"/>
      <c r="N735" s="237"/>
      <c r="O735" s="243"/>
      <c r="P735" s="237"/>
      <c r="Q735" s="243"/>
      <c r="R735" s="237"/>
      <c r="S735" s="243"/>
      <c r="T735" s="237"/>
      <c r="U735" s="243"/>
      <c r="V735" s="348"/>
      <c r="W735" s="243"/>
      <c r="X735" s="237"/>
      <c r="Y735" s="243"/>
      <c r="Z735" s="237"/>
      <c r="AA735" s="243"/>
      <c r="AB735" s="237"/>
      <c r="AC735" s="243"/>
      <c r="AD735" s="237"/>
      <c r="AE735" s="243"/>
      <c r="AF735" s="237"/>
      <c r="AG735" s="243"/>
      <c r="AH735" s="237"/>
      <c r="AI735" s="243"/>
    </row>
    <row r="736" spans="2:35">
      <c r="B736" s="347" t="s">
        <v>276</v>
      </c>
      <c r="C736" s="244"/>
      <c r="D736" s="237"/>
      <c r="E736" s="243"/>
      <c r="F736" s="237"/>
      <c r="G736" s="243"/>
      <c r="H736" s="237"/>
      <c r="I736" s="244"/>
      <c r="J736" s="237"/>
      <c r="K736" s="243"/>
      <c r="L736" s="244"/>
      <c r="M736" s="243"/>
      <c r="N736" s="237"/>
      <c r="O736" s="243"/>
      <c r="P736" s="237"/>
      <c r="Q736" s="243"/>
      <c r="R736" s="237"/>
      <c r="S736" s="243"/>
      <c r="T736" s="237"/>
      <c r="U736" s="243"/>
      <c r="V736" s="348"/>
      <c r="W736" s="243"/>
      <c r="X736" s="237"/>
      <c r="Y736" s="243"/>
      <c r="Z736" s="237"/>
      <c r="AA736" s="243"/>
      <c r="AB736" s="237"/>
      <c r="AC736" s="243"/>
      <c r="AD736" s="237"/>
      <c r="AE736" s="243"/>
      <c r="AF736" s="237"/>
      <c r="AG736" s="243"/>
      <c r="AH736" s="237"/>
      <c r="AI736" s="243"/>
    </row>
    <row r="737" spans="2:35">
      <c r="B737" s="364" t="s">
        <v>277</v>
      </c>
      <c r="C737" s="244"/>
      <c r="D737" s="237">
        <f>F737+H737+J737+L737+N737+P737+R737+T737+V737+X737+Z737+AB737+AD737+AF737+AH737</f>
        <v>302458</v>
      </c>
      <c r="E737" s="243"/>
      <c r="F737" s="237"/>
      <c r="G737" s="243"/>
      <c r="H737" s="237"/>
      <c r="I737" s="244"/>
      <c r="J737" s="237"/>
      <c r="K737" s="243"/>
      <c r="L737" s="244"/>
      <c r="M737" s="243"/>
      <c r="N737" s="237"/>
      <c r="O737" s="243"/>
      <c r="P737" s="237"/>
      <c r="Q737" s="243"/>
      <c r="R737" s="237"/>
      <c r="S737" s="243"/>
      <c r="T737" s="237"/>
      <c r="U737" s="243"/>
      <c r="V737" s="348"/>
      <c r="W737" s="243"/>
      <c r="X737" s="237"/>
      <c r="Y737" s="243"/>
      <c r="Z737" s="237"/>
      <c r="AA737" s="243"/>
      <c r="AB737" s="237"/>
      <c r="AC737" s="243"/>
      <c r="AD737" s="237"/>
      <c r="AE737" s="243"/>
      <c r="AF737" s="237"/>
      <c r="AG737" s="243"/>
      <c r="AH737" s="237">
        <v>302458</v>
      </c>
      <c r="AI737" s="243"/>
    </row>
    <row r="738" spans="2:35">
      <c r="B738" s="364" t="s">
        <v>278</v>
      </c>
      <c r="C738" s="244"/>
      <c r="D738" s="237">
        <f t="shared" ref="D738:D770" si="60">F738+H738+J738+L738+N738+P738+R738+T738+V738+X738+Z738+AB738+AD738+AF738+AH738</f>
        <v>1668648</v>
      </c>
      <c r="E738" s="243"/>
      <c r="F738" s="237"/>
      <c r="G738" s="243"/>
      <c r="H738" s="237"/>
      <c r="I738" s="244"/>
      <c r="J738" s="237"/>
      <c r="K738" s="243"/>
      <c r="L738" s="244"/>
      <c r="M738" s="243"/>
      <c r="N738" s="237"/>
      <c r="O738" s="243"/>
      <c r="P738" s="237"/>
      <c r="Q738" s="243"/>
      <c r="R738" s="237"/>
      <c r="S738" s="243"/>
      <c r="T738" s="237"/>
      <c r="U738" s="243"/>
      <c r="V738" s="348"/>
      <c r="W738" s="243"/>
      <c r="X738" s="237"/>
      <c r="Y738" s="243"/>
      <c r="Z738" s="237"/>
      <c r="AA738" s="243"/>
      <c r="AB738" s="237"/>
      <c r="AC738" s="243"/>
      <c r="AD738" s="237"/>
      <c r="AE738" s="243"/>
      <c r="AF738" s="237"/>
      <c r="AG738" s="243"/>
      <c r="AH738" s="237">
        <v>1668648</v>
      </c>
      <c r="AI738" s="243"/>
    </row>
    <row r="739" spans="2:35">
      <c r="B739" s="364" t="s">
        <v>279</v>
      </c>
      <c r="C739" s="244"/>
      <c r="D739" s="237">
        <f t="shared" si="60"/>
        <v>26170014</v>
      </c>
      <c r="E739" s="243"/>
      <c r="F739" s="237">
        <v>1682039</v>
      </c>
      <c r="G739" s="243"/>
      <c r="H739" s="237">
        <v>2568174</v>
      </c>
      <c r="I739" s="244"/>
      <c r="J739" s="237">
        <v>585678</v>
      </c>
      <c r="K739" s="243"/>
      <c r="L739" s="244">
        <v>1773414</v>
      </c>
      <c r="M739" s="243"/>
      <c r="N739" s="237"/>
      <c r="O739" s="243"/>
      <c r="P739" s="237">
        <v>1072975</v>
      </c>
      <c r="Q739" s="243"/>
      <c r="R739" s="237">
        <v>447750</v>
      </c>
      <c r="S739" s="243"/>
      <c r="T739" s="237">
        <v>77795</v>
      </c>
      <c r="U739" s="243"/>
      <c r="V739" s="348">
        <v>3527994</v>
      </c>
      <c r="W739" s="243"/>
      <c r="X739" s="237">
        <v>1632627</v>
      </c>
      <c r="Y739" s="243"/>
      <c r="Z739" s="237">
        <v>2693165</v>
      </c>
      <c r="AA739" s="243"/>
      <c r="AB739" s="237"/>
      <c r="AC739" s="243"/>
      <c r="AD739" s="237">
        <v>3483746</v>
      </c>
      <c r="AE739" s="243"/>
      <c r="AF739" s="237">
        <v>6624657</v>
      </c>
      <c r="AG739" s="243"/>
      <c r="AH739" s="237"/>
      <c r="AI739" s="243"/>
    </row>
    <row r="740" spans="2:35">
      <c r="B740" s="364" t="s">
        <v>993</v>
      </c>
      <c r="C740" s="244"/>
      <c r="D740" s="237">
        <f t="shared" si="60"/>
        <v>17251350</v>
      </c>
      <c r="E740" s="243"/>
      <c r="F740" s="237">
        <v>7847392</v>
      </c>
      <c r="G740" s="243"/>
      <c r="H740" s="237">
        <v>79813</v>
      </c>
      <c r="I740" s="244"/>
      <c r="J740" s="237">
        <v>143035</v>
      </c>
      <c r="K740" s="243"/>
      <c r="L740" s="244">
        <v>0</v>
      </c>
      <c r="M740" s="243"/>
      <c r="N740" s="237"/>
      <c r="O740" s="243"/>
      <c r="P740" s="237">
        <v>6604906</v>
      </c>
      <c r="Q740" s="243"/>
      <c r="R740" s="237"/>
      <c r="S740" s="243"/>
      <c r="T740" s="237">
        <v>858469</v>
      </c>
      <c r="U740" s="243"/>
      <c r="V740" s="348">
        <v>24724</v>
      </c>
      <c r="W740" s="243"/>
      <c r="X740" s="237">
        <v>109528</v>
      </c>
      <c r="Y740" s="243"/>
      <c r="Z740" s="237">
        <v>675900</v>
      </c>
      <c r="AA740" s="243"/>
      <c r="AB740" s="237"/>
      <c r="AC740" s="243"/>
      <c r="AD740" s="237">
        <v>897339</v>
      </c>
      <c r="AE740" s="243"/>
      <c r="AF740" s="237">
        <v>2370</v>
      </c>
      <c r="AG740" s="243"/>
      <c r="AH740" s="237">
        <v>7874</v>
      </c>
      <c r="AI740" s="243"/>
    </row>
    <row r="741" spans="2:35">
      <c r="B741" s="364" t="s">
        <v>272</v>
      </c>
      <c r="C741" s="244"/>
      <c r="D741" s="237">
        <f t="shared" si="60"/>
        <v>1091605</v>
      </c>
      <c r="E741" s="243"/>
      <c r="F741" s="237">
        <v>228039</v>
      </c>
      <c r="G741" s="243"/>
      <c r="H741" s="237">
        <v>98445</v>
      </c>
      <c r="I741" s="244"/>
      <c r="J741" s="237">
        <v>30305</v>
      </c>
      <c r="K741" s="243"/>
      <c r="L741" s="244">
        <v>30598</v>
      </c>
      <c r="M741" s="243"/>
      <c r="N741" s="237"/>
      <c r="O741" s="243"/>
      <c r="P741" s="237">
        <v>82544</v>
      </c>
      <c r="Q741" s="243"/>
      <c r="R741" s="237">
        <v>136520</v>
      </c>
      <c r="S741" s="243"/>
      <c r="T741" s="237">
        <v>124184</v>
      </c>
      <c r="U741" s="243"/>
      <c r="V741" s="348">
        <v>51939</v>
      </c>
      <c r="W741" s="243"/>
      <c r="X741" s="237">
        <v>22807</v>
      </c>
      <c r="Y741" s="243"/>
      <c r="Z741" s="237">
        <v>68205</v>
      </c>
      <c r="AA741" s="243"/>
      <c r="AB741" s="237"/>
      <c r="AC741" s="243"/>
      <c r="AD741" s="237">
        <v>143265</v>
      </c>
      <c r="AE741" s="243"/>
      <c r="AF741" s="237">
        <v>25807</v>
      </c>
      <c r="AG741" s="243"/>
      <c r="AH741" s="237">
        <v>48947</v>
      </c>
      <c r="AI741" s="243"/>
    </row>
    <row r="742" spans="2:35">
      <c r="B742" s="364" t="s">
        <v>280</v>
      </c>
      <c r="C742" s="244"/>
      <c r="D742" s="237">
        <f t="shared" si="60"/>
        <v>47313754</v>
      </c>
      <c r="E742" s="243"/>
      <c r="F742" s="237">
        <v>42842490</v>
      </c>
      <c r="G742" s="243"/>
      <c r="H742" s="237">
        <v>191440</v>
      </c>
      <c r="I742" s="244"/>
      <c r="J742" s="237">
        <v>41141</v>
      </c>
      <c r="K742" s="243"/>
      <c r="L742" s="244">
        <v>0</v>
      </c>
      <c r="M742" s="243"/>
      <c r="N742" s="237"/>
      <c r="O742" s="243"/>
      <c r="P742" s="237">
        <v>1310326</v>
      </c>
      <c r="Q742" s="243"/>
      <c r="R742" s="237">
        <v>131370</v>
      </c>
      <c r="S742" s="243"/>
      <c r="T742" s="237">
        <v>2178591</v>
      </c>
      <c r="U742" s="243"/>
      <c r="V742" s="348">
        <v>259566</v>
      </c>
      <c r="W742" s="243"/>
      <c r="X742" s="237"/>
      <c r="Y742" s="243"/>
      <c r="Z742" s="237">
        <v>332570</v>
      </c>
      <c r="AA742" s="243"/>
      <c r="AB742" s="237"/>
      <c r="AC742" s="243"/>
      <c r="AD742" s="237">
        <v>26260</v>
      </c>
      <c r="AE742" s="243"/>
      <c r="AF742" s="237"/>
      <c r="AG742" s="243"/>
      <c r="AH742" s="237"/>
      <c r="AI742" s="243"/>
    </row>
    <row r="743" spans="2:35">
      <c r="B743" s="364" t="s">
        <v>281</v>
      </c>
      <c r="C743" s="244"/>
      <c r="D743" s="237">
        <f t="shared" si="60"/>
        <v>784075</v>
      </c>
      <c r="E743" s="243"/>
      <c r="F743" s="237"/>
      <c r="G743" s="243"/>
      <c r="H743" s="237"/>
      <c r="I743" s="244"/>
      <c r="J743" s="237">
        <v>12360</v>
      </c>
      <c r="K743" s="243"/>
      <c r="L743" s="244">
        <v>0</v>
      </c>
      <c r="M743" s="243"/>
      <c r="N743" s="237"/>
      <c r="O743" s="243"/>
      <c r="P743" s="237"/>
      <c r="Q743" s="243"/>
      <c r="R743" s="237"/>
      <c r="S743" s="243"/>
      <c r="T743" s="237">
        <v>58237</v>
      </c>
      <c r="U743" s="243"/>
      <c r="V743" s="348"/>
      <c r="W743" s="243"/>
      <c r="X743" s="237">
        <v>24015</v>
      </c>
      <c r="Y743" s="243"/>
      <c r="Z743" s="237">
        <v>180089</v>
      </c>
      <c r="AA743" s="243"/>
      <c r="AB743" s="237"/>
      <c r="AC743" s="243"/>
      <c r="AD743" s="237">
        <v>509374</v>
      </c>
      <c r="AE743" s="243"/>
      <c r="AF743" s="237"/>
      <c r="AG743" s="243"/>
      <c r="AH743" s="237"/>
      <c r="AI743" s="243"/>
    </row>
    <row r="744" spans="2:35">
      <c r="B744" s="364" t="s">
        <v>994</v>
      </c>
      <c r="C744" s="244"/>
      <c r="D744" s="237">
        <f t="shared" si="60"/>
        <v>25781594</v>
      </c>
      <c r="E744" s="243"/>
      <c r="F744" s="237">
        <v>7741486</v>
      </c>
      <c r="G744" s="243"/>
      <c r="H744" s="237">
        <v>540866</v>
      </c>
      <c r="I744" s="244"/>
      <c r="J744" s="237">
        <v>403375</v>
      </c>
      <c r="K744" s="243"/>
      <c r="L744" s="244">
        <v>803208</v>
      </c>
      <c r="M744" s="243"/>
      <c r="N744" s="237"/>
      <c r="O744" s="243"/>
      <c r="P744" s="237">
        <v>5625912</v>
      </c>
      <c r="Q744" s="243"/>
      <c r="R744" s="237">
        <v>211969</v>
      </c>
      <c r="S744" s="243"/>
      <c r="T744" s="237">
        <v>1983717</v>
      </c>
      <c r="U744" s="243"/>
      <c r="V744" s="348">
        <v>1164542</v>
      </c>
      <c r="W744" s="243"/>
      <c r="X744" s="237">
        <v>431777</v>
      </c>
      <c r="Y744" s="243"/>
      <c r="Z744" s="237">
        <v>1195551</v>
      </c>
      <c r="AA744" s="243"/>
      <c r="AB744" s="237"/>
      <c r="AC744" s="243"/>
      <c r="AD744" s="237">
        <v>3730550</v>
      </c>
      <c r="AE744" s="243"/>
      <c r="AF744" s="237">
        <v>1948641</v>
      </c>
      <c r="AG744" s="243"/>
      <c r="AH744" s="237"/>
      <c r="AI744" s="243"/>
    </row>
    <row r="745" spans="2:35">
      <c r="B745" s="364" t="s">
        <v>995</v>
      </c>
      <c r="C745" s="244"/>
      <c r="D745" s="237">
        <f t="shared" si="60"/>
        <v>16562190</v>
      </c>
      <c r="E745" s="243"/>
      <c r="F745" s="237">
        <v>10220548</v>
      </c>
      <c r="G745" s="243"/>
      <c r="H745" s="237">
        <v>19382</v>
      </c>
      <c r="I745" s="244"/>
      <c r="J745" s="237">
        <v>85082</v>
      </c>
      <c r="K745" s="243"/>
      <c r="L745" s="244">
        <v>254626</v>
      </c>
      <c r="M745" s="243"/>
      <c r="N745" s="237"/>
      <c r="O745" s="243"/>
      <c r="P745" s="237">
        <v>232185</v>
      </c>
      <c r="Q745" s="243"/>
      <c r="R745" s="237">
        <v>23270</v>
      </c>
      <c r="S745" s="243"/>
      <c r="T745" s="237">
        <v>644790</v>
      </c>
      <c r="U745" s="243"/>
      <c r="V745" s="348">
        <v>441188</v>
      </c>
      <c r="W745" s="243"/>
      <c r="X745" s="237">
        <v>15441</v>
      </c>
      <c r="Y745" s="243"/>
      <c r="Z745" s="237">
        <v>350891</v>
      </c>
      <c r="AA745" s="243"/>
      <c r="AB745" s="237"/>
      <c r="AC745" s="243"/>
      <c r="AD745" s="237">
        <v>4070603</v>
      </c>
      <c r="AE745" s="243"/>
      <c r="AF745" s="237">
        <v>204184</v>
      </c>
      <c r="AG745" s="243"/>
      <c r="AH745" s="237"/>
      <c r="AI745" s="243"/>
    </row>
    <row r="746" spans="2:35">
      <c r="B746" s="364" t="s">
        <v>996</v>
      </c>
      <c r="C746" s="244"/>
      <c r="D746" s="237">
        <f t="shared" si="60"/>
        <v>7143350</v>
      </c>
      <c r="E746" s="243"/>
      <c r="F746" s="237">
        <v>3897437</v>
      </c>
      <c r="G746" s="243"/>
      <c r="H746" s="237">
        <v>152777</v>
      </c>
      <c r="I746" s="244"/>
      <c r="J746" s="237">
        <v>69978</v>
      </c>
      <c r="K746" s="243"/>
      <c r="L746" s="244">
        <v>282984</v>
      </c>
      <c r="M746" s="243"/>
      <c r="N746" s="237"/>
      <c r="O746" s="243"/>
      <c r="P746" s="237">
        <v>742589</v>
      </c>
      <c r="Q746" s="243"/>
      <c r="R746" s="237">
        <v>62771</v>
      </c>
      <c r="S746" s="243"/>
      <c r="T746" s="237">
        <v>411845</v>
      </c>
      <c r="U746" s="243"/>
      <c r="V746" s="348">
        <v>469433</v>
      </c>
      <c r="W746" s="243"/>
      <c r="X746" s="237">
        <v>40623</v>
      </c>
      <c r="Y746" s="243"/>
      <c r="Z746" s="237">
        <v>200609</v>
      </c>
      <c r="AA746" s="243"/>
      <c r="AB746" s="237"/>
      <c r="AC746" s="243"/>
      <c r="AD746" s="237">
        <v>534759</v>
      </c>
      <c r="AE746" s="243"/>
      <c r="AF746" s="237">
        <v>265699</v>
      </c>
      <c r="AG746" s="243"/>
      <c r="AH746" s="237">
        <v>11846</v>
      </c>
      <c r="AI746" s="243"/>
    </row>
    <row r="747" spans="2:35">
      <c r="B747" s="364" t="s">
        <v>997</v>
      </c>
      <c r="C747" s="244"/>
      <c r="D747" s="237">
        <f t="shared" si="60"/>
        <v>2994398</v>
      </c>
      <c r="E747" s="243"/>
      <c r="F747" s="237">
        <v>2370148</v>
      </c>
      <c r="G747" s="243"/>
      <c r="H747" s="237">
        <v>35291</v>
      </c>
      <c r="I747" s="244"/>
      <c r="J747" s="237">
        <v>30666</v>
      </c>
      <c r="K747" s="243"/>
      <c r="L747" s="244">
        <v>53658</v>
      </c>
      <c r="M747" s="243"/>
      <c r="N747" s="237"/>
      <c r="O747" s="243"/>
      <c r="P747" s="237">
        <v>71767</v>
      </c>
      <c r="Q747" s="243"/>
      <c r="R747" s="237">
        <v>7720</v>
      </c>
      <c r="S747" s="243"/>
      <c r="T747" s="237">
        <v>154812</v>
      </c>
      <c r="U747" s="243"/>
      <c r="V747" s="348">
        <v>58818</v>
      </c>
      <c r="W747" s="243"/>
      <c r="X747" s="237">
        <v>5785</v>
      </c>
      <c r="Y747" s="243"/>
      <c r="Z747" s="237">
        <v>106897</v>
      </c>
      <c r="AA747" s="243"/>
      <c r="AB747" s="237"/>
      <c r="AC747" s="243"/>
      <c r="AD747" s="237">
        <v>33779</v>
      </c>
      <c r="AE747" s="243"/>
      <c r="AF747" s="237">
        <v>63453</v>
      </c>
      <c r="AG747" s="243"/>
      <c r="AH747" s="237">
        <v>1604</v>
      </c>
      <c r="AI747" s="243"/>
    </row>
    <row r="748" spans="2:35">
      <c r="B748" s="364" t="s">
        <v>998</v>
      </c>
      <c r="C748" s="244"/>
      <c r="D748" s="237">
        <f t="shared" si="60"/>
        <v>15051733</v>
      </c>
      <c r="E748" s="243"/>
      <c r="F748" s="237">
        <v>5820115</v>
      </c>
      <c r="G748" s="243"/>
      <c r="H748" s="237">
        <v>628629</v>
      </c>
      <c r="I748" s="244"/>
      <c r="J748" s="237">
        <v>322465</v>
      </c>
      <c r="K748" s="243"/>
      <c r="L748" s="244">
        <v>637947</v>
      </c>
      <c r="M748" s="243"/>
      <c r="N748" s="237"/>
      <c r="O748" s="243"/>
      <c r="P748" s="237">
        <v>1494631</v>
      </c>
      <c r="Q748" s="243"/>
      <c r="R748" s="237">
        <v>254722</v>
      </c>
      <c r="S748" s="243"/>
      <c r="T748" s="237">
        <v>1051779</v>
      </c>
      <c r="U748" s="243"/>
      <c r="V748" s="348">
        <v>950303</v>
      </c>
      <c r="W748" s="243"/>
      <c r="X748" s="237">
        <v>449584</v>
      </c>
      <c r="Y748" s="243"/>
      <c r="Z748" s="237">
        <v>743646</v>
      </c>
      <c r="AA748" s="243"/>
      <c r="AB748" s="237"/>
      <c r="AC748" s="243"/>
      <c r="AD748" s="237">
        <v>1622221</v>
      </c>
      <c r="AE748" s="243"/>
      <c r="AF748" s="237">
        <v>1039188</v>
      </c>
      <c r="AG748" s="243"/>
      <c r="AH748" s="237">
        <v>36503</v>
      </c>
      <c r="AI748" s="243"/>
    </row>
    <row r="749" spans="2:35">
      <c r="B749" s="364" t="s">
        <v>999</v>
      </c>
      <c r="C749" s="244"/>
      <c r="D749" s="237">
        <f t="shared" si="60"/>
        <v>6903609</v>
      </c>
      <c r="E749" s="243"/>
      <c r="F749" s="237">
        <v>6669313</v>
      </c>
      <c r="G749" s="243"/>
      <c r="H749" s="237">
        <v>112</v>
      </c>
      <c r="I749" s="244"/>
      <c r="J749" s="237">
        <v>151257</v>
      </c>
      <c r="K749" s="243"/>
      <c r="L749" s="244"/>
      <c r="M749" s="243"/>
      <c r="N749" s="237"/>
      <c r="O749" s="243"/>
      <c r="P749" s="237"/>
      <c r="Q749" s="243"/>
      <c r="R749" s="237"/>
      <c r="S749" s="243"/>
      <c r="T749" s="237">
        <v>19850</v>
      </c>
      <c r="U749" s="243"/>
      <c r="V749" s="348">
        <v>15933</v>
      </c>
      <c r="W749" s="243"/>
      <c r="X749" s="237"/>
      <c r="Y749" s="243"/>
      <c r="Z749" s="237"/>
      <c r="AA749" s="243"/>
      <c r="AB749" s="237"/>
      <c r="AC749" s="243"/>
      <c r="AD749" s="237">
        <v>47144</v>
      </c>
      <c r="AE749" s="243"/>
      <c r="AF749" s="237"/>
      <c r="AG749" s="243"/>
      <c r="AH749" s="237"/>
      <c r="AI749" s="243"/>
    </row>
    <row r="750" spans="2:35">
      <c r="B750" s="364" t="s">
        <v>1000</v>
      </c>
      <c r="C750" s="244"/>
      <c r="D750" s="237">
        <f t="shared" si="60"/>
        <v>38042407</v>
      </c>
      <c r="E750" s="243"/>
      <c r="F750" s="237">
        <v>14384653</v>
      </c>
      <c r="G750" s="243"/>
      <c r="H750" s="237">
        <v>2526249</v>
      </c>
      <c r="I750" s="244"/>
      <c r="J750" s="237">
        <v>1613082</v>
      </c>
      <c r="K750" s="243"/>
      <c r="L750" s="244">
        <v>2145843</v>
      </c>
      <c r="M750" s="243"/>
      <c r="N750" s="237"/>
      <c r="O750" s="243"/>
      <c r="P750" s="237">
        <v>2378015</v>
      </c>
      <c r="Q750" s="243"/>
      <c r="R750" s="237">
        <v>550795</v>
      </c>
      <c r="S750" s="243"/>
      <c r="T750" s="237">
        <v>3074385</v>
      </c>
      <c r="U750" s="243"/>
      <c r="V750" s="348">
        <v>2305786</v>
      </c>
      <c r="W750" s="243"/>
      <c r="X750" s="237">
        <v>535120</v>
      </c>
      <c r="Y750" s="243"/>
      <c r="Z750" s="237">
        <v>3233741</v>
      </c>
      <c r="AA750" s="243"/>
      <c r="AB750" s="237"/>
      <c r="AC750" s="243"/>
      <c r="AD750" s="237">
        <v>2704462</v>
      </c>
      <c r="AE750" s="243"/>
      <c r="AF750" s="237">
        <v>2110655</v>
      </c>
      <c r="AG750" s="243"/>
      <c r="AH750" s="237">
        <v>479621</v>
      </c>
      <c r="AI750" s="243"/>
    </row>
    <row r="751" spans="2:35">
      <c r="B751" s="364" t="s">
        <v>1001</v>
      </c>
      <c r="C751" s="244"/>
      <c r="D751" s="237">
        <f t="shared" si="60"/>
        <v>18860217</v>
      </c>
      <c r="E751" s="243"/>
      <c r="F751" s="237">
        <v>11422904</v>
      </c>
      <c r="G751" s="243"/>
      <c r="H751" s="237">
        <v>391053</v>
      </c>
      <c r="I751" s="244"/>
      <c r="J751" s="237">
        <v>103215</v>
      </c>
      <c r="K751" s="243"/>
      <c r="L751" s="244">
        <v>460700</v>
      </c>
      <c r="M751" s="243"/>
      <c r="N751" s="237"/>
      <c r="O751" s="243"/>
      <c r="P751" s="237">
        <v>744056</v>
      </c>
      <c r="Q751" s="243"/>
      <c r="R751" s="237">
        <v>226565</v>
      </c>
      <c r="S751" s="243"/>
      <c r="T751" s="237">
        <v>1326242</v>
      </c>
      <c r="U751" s="243"/>
      <c r="V751" s="348">
        <v>1294743</v>
      </c>
      <c r="W751" s="243"/>
      <c r="X751" s="237">
        <v>160430</v>
      </c>
      <c r="Y751" s="243"/>
      <c r="Z751" s="237">
        <v>646424</v>
      </c>
      <c r="AA751" s="243"/>
      <c r="AB751" s="237"/>
      <c r="AC751" s="243"/>
      <c r="AD751" s="237">
        <v>1604599</v>
      </c>
      <c r="AE751" s="243"/>
      <c r="AF751" s="237">
        <v>479286</v>
      </c>
      <c r="AG751" s="243"/>
      <c r="AH751" s="237"/>
      <c r="AI751" s="243"/>
    </row>
    <row r="752" spans="2:35">
      <c r="B752" s="364" t="s">
        <v>1002</v>
      </c>
      <c r="C752" s="244"/>
      <c r="D752" s="237">
        <f t="shared" si="60"/>
        <v>6741215</v>
      </c>
      <c r="E752" s="243"/>
      <c r="F752" s="237">
        <v>3823335</v>
      </c>
      <c r="G752" s="243"/>
      <c r="H752" s="237">
        <v>151664</v>
      </c>
      <c r="I752" s="244"/>
      <c r="J752" s="237">
        <v>115208</v>
      </c>
      <c r="K752" s="243"/>
      <c r="L752" s="244">
        <v>423935</v>
      </c>
      <c r="M752" s="243"/>
      <c r="N752" s="237"/>
      <c r="O752" s="243"/>
      <c r="P752" s="237">
        <v>207259</v>
      </c>
      <c r="Q752" s="243"/>
      <c r="R752" s="237">
        <v>96756</v>
      </c>
      <c r="S752" s="243"/>
      <c r="T752" s="237">
        <v>379738</v>
      </c>
      <c r="U752" s="243"/>
      <c r="V752" s="348">
        <v>407111</v>
      </c>
      <c r="W752" s="243"/>
      <c r="X752" s="237">
        <v>94932</v>
      </c>
      <c r="Y752" s="243"/>
      <c r="Z752" s="237">
        <v>253781</v>
      </c>
      <c r="AA752" s="243"/>
      <c r="AB752" s="237"/>
      <c r="AC752" s="243"/>
      <c r="AD752" s="237">
        <v>622628</v>
      </c>
      <c r="AE752" s="243"/>
      <c r="AF752" s="237">
        <v>156768</v>
      </c>
      <c r="AG752" s="243"/>
      <c r="AH752" s="237">
        <v>8100</v>
      </c>
      <c r="AI752" s="243"/>
    </row>
    <row r="753" spans="2:35">
      <c r="B753" s="364" t="s">
        <v>1003</v>
      </c>
      <c r="C753" s="244"/>
      <c r="D753" s="237">
        <f t="shared" si="60"/>
        <v>48481803</v>
      </c>
      <c r="E753" s="243"/>
      <c r="F753" s="237">
        <v>25978015</v>
      </c>
      <c r="G753" s="243"/>
      <c r="H753" s="237">
        <v>24000</v>
      </c>
      <c r="I753" s="244"/>
      <c r="J753" s="237">
        <v>400211</v>
      </c>
      <c r="K753" s="243"/>
      <c r="L753" s="244">
        <v>2587351</v>
      </c>
      <c r="M753" s="243"/>
      <c r="N753" s="237"/>
      <c r="O753" s="243"/>
      <c r="P753" s="237">
        <v>4459610</v>
      </c>
      <c r="Q753" s="243"/>
      <c r="R753" s="237"/>
      <c r="S753" s="243"/>
      <c r="T753" s="237">
        <v>1246563</v>
      </c>
      <c r="U753" s="243"/>
      <c r="V753" s="348">
        <v>4288429</v>
      </c>
      <c r="W753" s="243"/>
      <c r="X753" s="237">
        <v>245834</v>
      </c>
      <c r="Y753" s="243"/>
      <c r="Z753" s="237">
        <v>825295</v>
      </c>
      <c r="AA753" s="243"/>
      <c r="AB753" s="237"/>
      <c r="AC753" s="243"/>
      <c r="AD753" s="237">
        <v>2483597</v>
      </c>
      <c r="AE753" s="243"/>
      <c r="AF753" s="237">
        <v>5942898</v>
      </c>
      <c r="AG753" s="243"/>
      <c r="AH753" s="237"/>
      <c r="AI753" s="243"/>
    </row>
    <row r="754" spans="2:35">
      <c r="B754" s="364" t="s">
        <v>1021</v>
      </c>
      <c r="C754" s="244"/>
      <c r="D754" s="237">
        <f t="shared" si="60"/>
        <v>5832722</v>
      </c>
      <c r="E754" s="243"/>
      <c r="F754" s="237">
        <f>G805</f>
        <v>2787228</v>
      </c>
      <c r="G754" s="243"/>
      <c r="H754" s="237">
        <f>I805</f>
        <v>371068</v>
      </c>
      <c r="I754" s="244"/>
      <c r="J754" s="237">
        <f>K805</f>
        <v>202248</v>
      </c>
      <c r="K754" s="243"/>
      <c r="L754" s="758">
        <f>M805</f>
        <v>250001</v>
      </c>
      <c r="M754" s="243"/>
      <c r="N754" s="237"/>
      <c r="O754" s="243"/>
      <c r="P754" s="758">
        <f>Q805</f>
        <v>310395</v>
      </c>
      <c r="Q754" s="243"/>
      <c r="R754" s="758">
        <f>S805</f>
        <v>157995</v>
      </c>
      <c r="S754" s="243"/>
      <c r="T754" s="758">
        <f>U805</f>
        <v>299862</v>
      </c>
      <c r="U754" s="243"/>
      <c r="V754" s="758">
        <f>W805</f>
        <v>404496</v>
      </c>
      <c r="W754" s="243"/>
      <c r="X754" s="758">
        <f>Y805</f>
        <v>204258</v>
      </c>
      <c r="Y754" s="243"/>
      <c r="Z754" s="758">
        <f>AA805</f>
        <v>242697</v>
      </c>
      <c r="AA754" s="243"/>
      <c r="AB754" s="237"/>
      <c r="AC754" s="243"/>
      <c r="AD754" s="237"/>
      <c r="AE754" s="243"/>
      <c r="AF754" s="870">
        <f>AG805</f>
        <v>602474</v>
      </c>
      <c r="AG754" s="243"/>
      <c r="AH754" s="237"/>
      <c r="AI754" s="243"/>
    </row>
    <row r="755" spans="2:35">
      <c r="B755" s="364" t="s">
        <v>1005</v>
      </c>
      <c r="C755" s="244"/>
      <c r="D755" s="237">
        <f t="shared" si="60"/>
        <v>3971543</v>
      </c>
      <c r="E755" s="243"/>
      <c r="F755" s="237">
        <v>2991015</v>
      </c>
      <c r="G755" s="243"/>
      <c r="H755" s="237">
        <v>56852</v>
      </c>
      <c r="I755" s="244"/>
      <c r="J755" s="237">
        <v>10060</v>
      </c>
      <c r="K755" s="243"/>
      <c r="L755" s="244">
        <v>275765</v>
      </c>
      <c r="M755" s="243"/>
      <c r="N755" s="237"/>
      <c r="O755" s="243"/>
      <c r="P755" s="237">
        <v>78784</v>
      </c>
      <c r="Q755" s="243"/>
      <c r="R755" s="237">
        <v>55196</v>
      </c>
      <c r="S755" s="243"/>
      <c r="T755" s="237">
        <v>9568</v>
      </c>
      <c r="U755" s="243"/>
      <c r="V755" s="348">
        <v>63752</v>
      </c>
      <c r="W755" s="243"/>
      <c r="X755" s="237">
        <v>122770</v>
      </c>
      <c r="Y755" s="243"/>
      <c r="Z755" s="237">
        <v>82321</v>
      </c>
      <c r="AA755" s="243"/>
      <c r="AB755" s="237"/>
      <c r="AC755" s="243"/>
      <c r="AD755" s="237">
        <v>14292</v>
      </c>
      <c r="AE755" s="243"/>
      <c r="AF755" s="237">
        <v>209524</v>
      </c>
      <c r="AG755" s="243"/>
      <c r="AH755" s="237">
        <v>1644</v>
      </c>
      <c r="AI755" s="243"/>
    </row>
    <row r="756" spans="2:35">
      <c r="B756" s="364" t="s">
        <v>1006</v>
      </c>
      <c r="C756" s="244"/>
      <c r="D756" s="237">
        <f t="shared" si="60"/>
        <v>430687</v>
      </c>
      <c r="E756" s="243"/>
      <c r="F756" s="237">
        <v>180468</v>
      </c>
      <c r="G756" s="243"/>
      <c r="H756" s="237">
        <v>30822</v>
      </c>
      <c r="I756" s="244"/>
      <c r="J756" s="237">
        <v>10808</v>
      </c>
      <c r="K756" s="243"/>
      <c r="L756" s="244">
        <v>12088</v>
      </c>
      <c r="M756" s="243"/>
      <c r="N756" s="237"/>
      <c r="O756" s="243"/>
      <c r="P756" s="237">
        <v>31003</v>
      </c>
      <c r="Q756" s="243"/>
      <c r="R756" s="237">
        <v>9396</v>
      </c>
      <c r="S756" s="243"/>
      <c r="T756" s="237">
        <v>53693</v>
      </c>
      <c r="U756" s="243"/>
      <c r="V756" s="348">
        <v>19443</v>
      </c>
      <c r="W756" s="243"/>
      <c r="X756" s="237">
        <v>3250</v>
      </c>
      <c r="Y756" s="243"/>
      <c r="Z756" s="237">
        <v>13843</v>
      </c>
      <c r="AA756" s="243"/>
      <c r="AB756" s="237"/>
      <c r="AC756" s="243"/>
      <c r="AD756" s="237">
        <v>16007</v>
      </c>
      <c r="AE756" s="243"/>
      <c r="AF756" s="237">
        <v>42122</v>
      </c>
      <c r="AG756" s="243"/>
      <c r="AH756" s="237">
        <v>7744</v>
      </c>
      <c r="AI756" s="243"/>
    </row>
    <row r="757" spans="2:35">
      <c r="B757" s="364" t="s">
        <v>1007</v>
      </c>
      <c r="C757" s="244"/>
      <c r="D757" s="237">
        <f t="shared" si="60"/>
        <v>5483243</v>
      </c>
      <c r="E757" s="243"/>
      <c r="F757" s="237">
        <v>2696491</v>
      </c>
      <c r="G757" s="243"/>
      <c r="H757" s="237">
        <v>7131</v>
      </c>
      <c r="I757" s="244"/>
      <c r="J757" s="237"/>
      <c r="K757" s="243"/>
      <c r="L757" s="244">
        <v>27375</v>
      </c>
      <c r="M757" s="243"/>
      <c r="N757" s="237"/>
      <c r="O757" s="243"/>
      <c r="P757" s="237">
        <v>211856</v>
      </c>
      <c r="Q757" s="243"/>
      <c r="R757" s="237">
        <v>27280</v>
      </c>
      <c r="S757" s="243"/>
      <c r="T757" s="237">
        <v>2038326</v>
      </c>
      <c r="U757" s="243"/>
      <c r="V757" s="348">
        <v>13846</v>
      </c>
      <c r="W757" s="243"/>
      <c r="X757" s="237"/>
      <c r="Y757" s="243"/>
      <c r="Z757" s="237"/>
      <c r="AA757" s="243"/>
      <c r="AB757" s="237"/>
      <c r="AC757" s="243"/>
      <c r="AD757" s="237">
        <v>443678</v>
      </c>
      <c r="AE757" s="243"/>
      <c r="AF757" s="237">
        <v>17260</v>
      </c>
      <c r="AG757" s="243"/>
      <c r="AH757" s="237"/>
      <c r="AI757" s="243"/>
    </row>
    <row r="758" spans="2:35">
      <c r="B758" s="364" t="s">
        <v>1008</v>
      </c>
      <c r="C758" s="244"/>
      <c r="D758" s="237">
        <f t="shared" si="60"/>
        <v>18307935</v>
      </c>
      <c r="E758" s="243"/>
      <c r="F758" s="237">
        <v>10393284</v>
      </c>
      <c r="G758" s="243"/>
      <c r="H758" s="237">
        <v>431154</v>
      </c>
      <c r="I758" s="244"/>
      <c r="J758" s="237">
        <v>300282</v>
      </c>
      <c r="K758" s="243"/>
      <c r="L758" s="244">
        <v>303265</v>
      </c>
      <c r="M758" s="243"/>
      <c r="N758" s="237"/>
      <c r="O758" s="243"/>
      <c r="P758" s="237">
        <v>3058452</v>
      </c>
      <c r="Q758" s="243"/>
      <c r="R758" s="237">
        <v>345495</v>
      </c>
      <c r="S758" s="243"/>
      <c r="T758" s="237">
        <v>533858</v>
      </c>
      <c r="U758" s="243"/>
      <c r="V758" s="348">
        <v>1000636</v>
      </c>
      <c r="W758" s="243"/>
      <c r="X758" s="237">
        <v>108832</v>
      </c>
      <c r="Y758" s="243"/>
      <c r="Z758" s="237">
        <v>555447</v>
      </c>
      <c r="AA758" s="243"/>
      <c r="AB758" s="237"/>
      <c r="AC758" s="243"/>
      <c r="AD758" s="237">
        <v>468071</v>
      </c>
      <c r="AE758" s="243"/>
      <c r="AF758" s="237">
        <v>805679</v>
      </c>
      <c r="AG758" s="243"/>
      <c r="AH758" s="237">
        <v>3480</v>
      </c>
      <c r="AI758" s="243"/>
    </row>
    <row r="759" spans="2:35">
      <c r="B759" s="364" t="s">
        <v>1009</v>
      </c>
      <c r="C759" s="244"/>
      <c r="D759" s="237">
        <f t="shared" si="60"/>
        <v>183278</v>
      </c>
      <c r="E759" s="243"/>
      <c r="F759" s="237">
        <v>8340</v>
      </c>
      <c r="G759" s="243"/>
      <c r="H759" s="237"/>
      <c r="I759" s="244"/>
      <c r="J759" s="237"/>
      <c r="K759" s="243"/>
      <c r="L759" s="244">
        <v>0</v>
      </c>
      <c r="M759" s="243"/>
      <c r="N759" s="237"/>
      <c r="O759" s="243"/>
      <c r="P759" s="237"/>
      <c r="Q759" s="243"/>
      <c r="R759" s="237"/>
      <c r="S759" s="243"/>
      <c r="T759" s="237">
        <v>5100</v>
      </c>
      <c r="U759" s="243"/>
      <c r="V759" s="348"/>
      <c r="W759" s="243"/>
      <c r="X759" s="237"/>
      <c r="Y759" s="243"/>
      <c r="Z759" s="237"/>
      <c r="AA759" s="243"/>
      <c r="AB759" s="237"/>
      <c r="AC759" s="243"/>
      <c r="AD759" s="237">
        <v>169838</v>
      </c>
      <c r="AE759" s="243"/>
      <c r="AF759" s="237"/>
      <c r="AG759" s="243"/>
      <c r="AH759" s="237"/>
      <c r="AI759" s="243"/>
    </row>
    <row r="760" spans="2:35">
      <c r="B760" s="364" t="s">
        <v>1010</v>
      </c>
      <c r="C760" s="244"/>
      <c r="D760" s="237">
        <f t="shared" si="60"/>
        <v>3389450</v>
      </c>
      <c r="E760" s="243"/>
      <c r="F760" s="237">
        <v>3352596</v>
      </c>
      <c r="G760" s="243"/>
      <c r="H760" s="237">
        <v>10000</v>
      </c>
      <c r="I760" s="244"/>
      <c r="J760" s="237"/>
      <c r="K760" s="243"/>
      <c r="L760" s="244">
        <v>0</v>
      </c>
      <c r="M760" s="243"/>
      <c r="N760" s="237"/>
      <c r="O760" s="243"/>
      <c r="P760" s="237"/>
      <c r="Q760" s="243"/>
      <c r="R760" s="237"/>
      <c r="S760" s="243"/>
      <c r="T760" s="237">
        <v>10000</v>
      </c>
      <c r="U760" s="243"/>
      <c r="V760" s="348"/>
      <c r="W760" s="243"/>
      <c r="X760" s="237"/>
      <c r="Y760" s="243"/>
      <c r="Z760" s="237"/>
      <c r="AA760" s="243"/>
      <c r="AB760" s="237"/>
      <c r="AC760" s="243"/>
      <c r="AD760" s="237"/>
      <c r="AE760" s="243"/>
      <c r="AF760" s="237">
        <v>16854</v>
      </c>
      <c r="AG760" s="243"/>
      <c r="AH760" s="237"/>
      <c r="AI760" s="243"/>
    </row>
    <row r="761" spans="2:35">
      <c r="B761" s="364" t="s">
        <v>1011</v>
      </c>
      <c r="C761" s="244"/>
      <c r="D761" s="237">
        <f t="shared" si="60"/>
        <v>7537007</v>
      </c>
      <c r="E761" s="243"/>
      <c r="F761" s="237">
        <v>7383174</v>
      </c>
      <c r="G761" s="243"/>
      <c r="H761" s="237">
        <v>1200</v>
      </c>
      <c r="I761" s="244"/>
      <c r="J761" s="237"/>
      <c r="K761" s="243"/>
      <c r="L761" s="244">
        <v>0</v>
      </c>
      <c r="M761" s="243"/>
      <c r="N761" s="237"/>
      <c r="O761" s="243"/>
      <c r="P761" s="237"/>
      <c r="Q761" s="243"/>
      <c r="R761" s="237"/>
      <c r="S761" s="243"/>
      <c r="T761" s="237">
        <v>22388</v>
      </c>
      <c r="U761" s="243"/>
      <c r="V761" s="348"/>
      <c r="W761" s="243"/>
      <c r="X761" s="237"/>
      <c r="Y761" s="243"/>
      <c r="Z761" s="237">
        <v>46500</v>
      </c>
      <c r="AA761" s="243"/>
      <c r="AB761" s="237"/>
      <c r="AC761" s="243"/>
      <c r="AD761" s="237">
        <v>52500</v>
      </c>
      <c r="AE761" s="243"/>
      <c r="AF761" s="237">
        <v>31245</v>
      </c>
      <c r="AG761" s="243"/>
      <c r="AH761" s="237"/>
      <c r="AI761" s="243"/>
    </row>
    <row r="762" spans="2:35">
      <c r="B762" s="364" t="s">
        <v>1012</v>
      </c>
      <c r="C762" s="244"/>
      <c r="D762" s="237">
        <f t="shared" si="60"/>
        <v>22025461</v>
      </c>
      <c r="E762" s="243"/>
      <c r="F762" s="237">
        <v>14446046</v>
      </c>
      <c r="G762" s="243"/>
      <c r="H762" s="237">
        <v>701499</v>
      </c>
      <c r="I762" s="244"/>
      <c r="J762" s="237">
        <v>225436</v>
      </c>
      <c r="K762" s="243"/>
      <c r="L762" s="244">
        <v>1606809</v>
      </c>
      <c r="M762" s="243"/>
      <c r="N762" s="237"/>
      <c r="O762" s="243"/>
      <c r="P762" s="237">
        <v>799210</v>
      </c>
      <c r="Q762" s="243"/>
      <c r="R762" s="237">
        <v>186802</v>
      </c>
      <c r="S762" s="243"/>
      <c r="T762" s="237">
        <v>650294</v>
      </c>
      <c r="U762" s="243"/>
      <c r="V762" s="348">
        <v>574555</v>
      </c>
      <c r="W762" s="243"/>
      <c r="X762" s="237">
        <v>106374</v>
      </c>
      <c r="Y762" s="243"/>
      <c r="Z762" s="237">
        <v>241636</v>
      </c>
      <c r="AA762" s="243"/>
      <c r="AB762" s="237"/>
      <c r="AC762" s="243"/>
      <c r="AD762" s="237">
        <v>1610051</v>
      </c>
      <c r="AE762" s="243"/>
      <c r="AF762" s="237">
        <f>1101469-224720</f>
        <v>876749</v>
      </c>
      <c r="AG762" s="243"/>
      <c r="AH762" s="237"/>
      <c r="AI762" s="243"/>
    </row>
    <row r="763" spans="2:35">
      <c r="B763" s="364" t="s">
        <v>1279</v>
      </c>
      <c r="C763" s="244"/>
      <c r="D763" s="237">
        <f t="shared" si="60"/>
        <v>4675530</v>
      </c>
      <c r="E763" s="243"/>
      <c r="F763" s="237">
        <f>4900000-224470</f>
        <v>4675530</v>
      </c>
      <c r="G763" s="243"/>
      <c r="H763" s="237"/>
      <c r="I763" s="244"/>
      <c r="J763" s="237"/>
      <c r="K763" s="243"/>
      <c r="L763" s="244"/>
      <c r="M763" s="243"/>
      <c r="N763" s="237"/>
      <c r="O763" s="243"/>
      <c r="P763" s="237"/>
      <c r="Q763" s="243"/>
      <c r="R763" s="237"/>
      <c r="S763" s="243"/>
      <c r="T763" s="237"/>
      <c r="U763" s="243"/>
      <c r="V763" s="348"/>
      <c r="W763" s="243"/>
      <c r="X763" s="237"/>
      <c r="Y763" s="243"/>
      <c r="Z763" s="237"/>
      <c r="AA763" s="243"/>
      <c r="AB763" s="237"/>
      <c r="AC763" s="243"/>
      <c r="AD763" s="237"/>
      <c r="AE763" s="243"/>
      <c r="AF763" s="237"/>
      <c r="AG763" s="243"/>
      <c r="AH763" s="237"/>
      <c r="AI763" s="243"/>
    </row>
    <row r="764" spans="2:35">
      <c r="B764" s="364" t="s">
        <v>1014</v>
      </c>
      <c r="C764" s="244"/>
      <c r="D764" s="237">
        <f t="shared" si="60"/>
        <v>-2735206</v>
      </c>
      <c r="E764" s="243"/>
      <c r="F764" s="237">
        <v>11776964</v>
      </c>
      <c r="G764" s="243"/>
      <c r="H764" s="237"/>
      <c r="I764" s="244"/>
      <c r="J764" s="237"/>
      <c r="K764" s="243"/>
      <c r="L764" s="244">
        <v>-14038494</v>
      </c>
      <c r="M764" s="243"/>
      <c r="N764" s="237"/>
      <c r="O764" s="243"/>
      <c r="P764" s="237">
        <v>-260</v>
      </c>
      <c r="Q764" s="243"/>
      <c r="R764" s="237">
        <v>23656</v>
      </c>
      <c r="S764" s="243"/>
      <c r="T764" s="237">
        <v>-1500048</v>
      </c>
      <c r="U764" s="243"/>
      <c r="V764" s="348"/>
      <c r="W764" s="243"/>
      <c r="X764" s="237"/>
      <c r="Y764" s="243"/>
      <c r="Z764" s="237">
        <v>663356</v>
      </c>
      <c r="AA764" s="243"/>
      <c r="AB764" s="237"/>
      <c r="AC764" s="243"/>
      <c r="AD764" s="237">
        <v>143916</v>
      </c>
      <c r="AE764" s="243"/>
      <c r="AF764" s="237">
        <v>195704</v>
      </c>
      <c r="AG764" s="243"/>
      <c r="AH764" s="237"/>
      <c r="AI764" s="243"/>
    </row>
    <row r="765" spans="2:35">
      <c r="B765" s="364" t="s">
        <v>1016</v>
      </c>
      <c r="C765" s="244"/>
      <c r="D765" s="237">
        <f t="shared" si="60"/>
        <v>8535474</v>
      </c>
      <c r="E765" s="243"/>
      <c r="F765" s="237">
        <v>5875757</v>
      </c>
      <c r="G765" s="243"/>
      <c r="H765" s="237">
        <v>1051021</v>
      </c>
      <c r="I765" s="244"/>
      <c r="J765" s="237"/>
      <c r="K765" s="243"/>
      <c r="L765" s="244"/>
      <c r="M765" s="243"/>
      <c r="N765" s="237"/>
      <c r="O765" s="243"/>
      <c r="P765" s="237"/>
      <c r="Q765" s="243"/>
      <c r="R765" s="237"/>
      <c r="S765" s="243"/>
      <c r="T765" s="237"/>
      <c r="U765" s="243"/>
      <c r="V765" s="348"/>
      <c r="W765" s="243"/>
      <c r="X765" s="237"/>
      <c r="Y765" s="243"/>
      <c r="Z765" s="237">
        <v>210806</v>
      </c>
      <c r="AA765" s="243"/>
      <c r="AB765" s="237"/>
      <c r="AC765" s="243"/>
      <c r="AD765" s="237">
        <v>1397890</v>
      </c>
      <c r="AE765" s="243"/>
      <c r="AF765" s="237"/>
      <c r="AG765" s="243"/>
      <c r="AH765" s="237"/>
      <c r="AI765" s="243"/>
    </row>
    <row r="766" spans="2:35">
      <c r="B766" s="364" t="s">
        <v>1280</v>
      </c>
      <c r="C766" s="244"/>
      <c r="D766" s="237">
        <f t="shared" si="60"/>
        <v>15994766</v>
      </c>
      <c r="E766" s="243"/>
      <c r="F766" s="237">
        <f>G823</f>
        <v>2023111</v>
      </c>
      <c r="G766" s="243"/>
      <c r="H766" s="237">
        <f>I823</f>
        <v>-108000</v>
      </c>
      <c r="I766" s="244"/>
      <c r="J766" s="237">
        <f>K823</f>
        <v>0</v>
      </c>
      <c r="K766" s="243"/>
      <c r="L766" s="237">
        <f>M823</f>
        <v>-74298</v>
      </c>
      <c r="M766" s="243"/>
      <c r="N766" s="237"/>
      <c r="O766" s="243"/>
      <c r="P766" s="237">
        <f>Q823</f>
        <v>-2754055</v>
      </c>
      <c r="Q766" s="243"/>
      <c r="R766" s="237">
        <f>S823</f>
        <v>-699280</v>
      </c>
      <c r="S766" s="243"/>
      <c r="T766" s="237">
        <f>U823</f>
        <v>2053416</v>
      </c>
      <c r="U766" s="243"/>
      <c r="V766" s="348"/>
      <c r="W766" s="243"/>
      <c r="X766" s="237">
        <f>Y823</f>
        <v>66340</v>
      </c>
      <c r="Y766" s="243"/>
      <c r="Z766" s="237">
        <f>AA823</f>
        <v>-375909</v>
      </c>
      <c r="AA766" s="243"/>
      <c r="AB766" s="237"/>
      <c r="AC766" s="243"/>
      <c r="AD766" s="237">
        <f>AE823</f>
        <v>65768</v>
      </c>
      <c r="AE766" s="243"/>
      <c r="AF766" s="237">
        <f>AG823</f>
        <v>15797673</v>
      </c>
      <c r="AG766" s="243"/>
      <c r="AH766" s="237"/>
      <c r="AI766" s="243"/>
    </row>
    <row r="767" spans="2:35">
      <c r="B767" s="364" t="s">
        <v>1017</v>
      </c>
      <c r="C767" s="244"/>
      <c r="D767" s="237">
        <f t="shared" si="60"/>
        <v>6858344</v>
      </c>
      <c r="E767" s="243"/>
      <c r="F767" s="237">
        <v>3040</v>
      </c>
      <c r="G767" s="243"/>
      <c r="H767" s="237">
        <v>129194</v>
      </c>
      <c r="I767" s="244"/>
      <c r="J767" s="237"/>
      <c r="K767" s="243"/>
      <c r="L767" s="244">
        <v>252656</v>
      </c>
      <c r="M767" s="243"/>
      <c r="N767" s="237"/>
      <c r="O767" s="243"/>
      <c r="P767" s="237"/>
      <c r="Q767" s="243"/>
      <c r="R767" s="237">
        <v>8031</v>
      </c>
      <c r="S767" s="243"/>
      <c r="T767" s="237"/>
      <c r="U767" s="243"/>
      <c r="V767" s="348"/>
      <c r="W767" s="243"/>
      <c r="X767" s="237"/>
      <c r="Y767" s="243"/>
      <c r="Z767" s="237"/>
      <c r="AA767" s="243"/>
      <c r="AB767" s="237"/>
      <c r="AC767" s="243"/>
      <c r="AD767" s="237">
        <v>6428964</v>
      </c>
      <c r="AE767" s="243"/>
      <c r="AF767" s="237">
        <v>36459</v>
      </c>
      <c r="AG767" s="243"/>
      <c r="AH767" s="237"/>
      <c r="AI767" s="243"/>
    </row>
    <row r="768" spans="2:35" ht="21">
      <c r="B768" s="364" t="s">
        <v>1018</v>
      </c>
      <c r="C768" s="244"/>
      <c r="D768" s="237">
        <f t="shared" si="60"/>
        <v>299961905</v>
      </c>
      <c r="E768" s="243"/>
      <c r="F768" s="237">
        <f>371514373-F769</f>
        <v>293164803</v>
      </c>
      <c r="G768" s="243"/>
      <c r="H768" s="237"/>
      <c r="I768" s="244"/>
      <c r="J768" s="237"/>
      <c r="K768" s="243"/>
      <c r="L768" s="244">
        <v>0</v>
      </c>
      <c r="M768" s="243"/>
      <c r="N768" s="237"/>
      <c r="O768" s="243"/>
      <c r="P768" s="237">
        <v>307</v>
      </c>
      <c r="Q768" s="243"/>
      <c r="R768" s="237"/>
      <c r="S768" s="243"/>
      <c r="T768" s="237">
        <v>1422454</v>
      </c>
      <c r="U768" s="243"/>
      <c r="V768" s="348">
        <v>182741</v>
      </c>
      <c r="W768" s="243"/>
      <c r="X768" s="237"/>
      <c r="Y768" s="243"/>
      <c r="Z768" s="237"/>
      <c r="AA768" s="243"/>
      <c r="AB768" s="237"/>
      <c r="AC768" s="243"/>
      <c r="AD768" s="237">
        <v>47027</v>
      </c>
      <c r="AE768" s="243"/>
      <c r="AF768" s="237">
        <v>5144573</v>
      </c>
      <c r="AG768" s="243"/>
      <c r="AH768" s="237"/>
      <c r="AI768" s="243"/>
    </row>
    <row r="769" spans="2:35" ht="21">
      <c r="B769" s="364" t="s">
        <v>1274</v>
      </c>
      <c r="C769" s="244"/>
      <c r="D769" s="237">
        <f t="shared" si="60"/>
        <v>78349570</v>
      </c>
      <c r="E769" s="243"/>
      <c r="F769" s="237">
        <v>78349570</v>
      </c>
      <c r="G769" s="243"/>
      <c r="H769" s="237"/>
      <c r="I769" s="244"/>
      <c r="J769" s="237"/>
      <c r="K769" s="243"/>
      <c r="L769" s="244"/>
      <c r="M769" s="243"/>
      <c r="N769" s="237"/>
      <c r="O769" s="243"/>
      <c r="P769" s="237"/>
      <c r="Q769" s="243"/>
      <c r="R769" s="237"/>
      <c r="S769" s="243"/>
      <c r="T769" s="237"/>
      <c r="U769" s="243"/>
      <c r="V769" s="348"/>
      <c r="W769" s="243"/>
      <c r="X769" s="237"/>
      <c r="Y769" s="243"/>
      <c r="Z769" s="237"/>
      <c r="AA769" s="243"/>
      <c r="AB769" s="237"/>
      <c r="AC769" s="243"/>
      <c r="AD769" s="237"/>
      <c r="AE769" s="243"/>
      <c r="AF769" s="237"/>
      <c r="AG769" s="243"/>
      <c r="AH769" s="237"/>
      <c r="AI769" s="243"/>
    </row>
    <row r="770" spans="2:35" ht="21">
      <c r="B770" s="364" t="s">
        <v>1019</v>
      </c>
      <c r="C770" s="244"/>
      <c r="D770" s="237">
        <f t="shared" si="60"/>
        <v>12358817</v>
      </c>
      <c r="E770" s="243"/>
      <c r="F770" s="237">
        <v>2185120</v>
      </c>
      <c r="G770" s="243"/>
      <c r="H770" s="237"/>
      <c r="I770" s="244"/>
      <c r="J770" s="237"/>
      <c r="K770" s="243"/>
      <c r="L770" s="244">
        <v>0</v>
      </c>
      <c r="M770" s="243"/>
      <c r="N770" s="237"/>
      <c r="O770" s="243"/>
      <c r="P770" s="237">
        <v>10053560</v>
      </c>
      <c r="Q770" s="243"/>
      <c r="R770" s="237">
        <v>32503</v>
      </c>
      <c r="S770" s="243"/>
      <c r="T770" s="237"/>
      <c r="U770" s="243"/>
      <c r="V770" s="348"/>
      <c r="W770" s="243"/>
      <c r="X770" s="237"/>
      <c r="Y770" s="243"/>
      <c r="Z770" s="237"/>
      <c r="AA770" s="243"/>
      <c r="AB770" s="237"/>
      <c r="AC770" s="243"/>
      <c r="AD770" s="237">
        <v>87634</v>
      </c>
      <c r="AE770" s="243"/>
      <c r="AF770" s="237"/>
      <c r="AG770" s="243"/>
      <c r="AH770" s="237"/>
      <c r="AI770" s="243"/>
    </row>
    <row r="771" spans="2:35" ht="12" thickBot="1">
      <c r="B771" s="364" t="s">
        <v>1020</v>
      </c>
      <c r="C771" s="244"/>
      <c r="D771" s="245">
        <f>F771+H771+J771+L771+N771+P771+R771+T771+V771+X771+Z771+AB771+AD771+AF771+AH771</f>
        <v>63114864</v>
      </c>
      <c r="E771" s="243">
        <f>+SUM(D737:D771)</f>
        <v>835419810</v>
      </c>
      <c r="F771" s="245">
        <v>23638985</v>
      </c>
      <c r="G771" s="243">
        <f>+SUM(F737:F771)</f>
        <v>610859436</v>
      </c>
      <c r="H771" s="245">
        <v>1986924</v>
      </c>
      <c r="I771" s="243">
        <f>+SUM(H737:H771)</f>
        <v>12076760</v>
      </c>
      <c r="J771" s="245">
        <v>1668184</v>
      </c>
      <c r="K771" s="243">
        <f>+SUM(J737:J771)</f>
        <v>6524076</v>
      </c>
      <c r="L771" s="245">
        <v>2718437</v>
      </c>
      <c r="M771" s="243">
        <f>+SUM(L737:L771)</f>
        <v>787868</v>
      </c>
      <c r="N771" s="245"/>
      <c r="O771" s="243">
        <f>+SUM(N737:N771)</f>
        <v>0</v>
      </c>
      <c r="P771" s="245">
        <v>6840819</v>
      </c>
      <c r="Q771" s="243">
        <f>+SUM(P737:P771)</f>
        <v>43656846</v>
      </c>
      <c r="R771" s="245">
        <v>1179401</v>
      </c>
      <c r="S771" s="243">
        <f>+SUM(R737:R771)</f>
        <v>3476683</v>
      </c>
      <c r="T771" s="245">
        <v>3083340</v>
      </c>
      <c r="U771" s="243">
        <f>+SUM(T737:T771)</f>
        <v>22273248</v>
      </c>
      <c r="V771" s="245">
        <v>3963670</v>
      </c>
      <c r="W771" s="243">
        <f>+SUM(V737:V771)</f>
        <v>21483648</v>
      </c>
      <c r="X771" s="245">
        <v>1247250</v>
      </c>
      <c r="Y771" s="243">
        <f>+SUM(X737:X771)</f>
        <v>5627577</v>
      </c>
      <c r="Z771" s="245">
        <v>2409585</v>
      </c>
      <c r="AA771" s="243">
        <f>+SUM(Z737:Z771)</f>
        <v>15597046</v>
      </c>
      <c r="AB771" s="245"/>
      <c r="AC771" s="243">
        <f>+SUM(AB737:AB771)</f>
        <v>0</v>
      </c>
      <c r="AD771" s="245">
        <v>11891557</v>
      </c>
      <c r="AE771" s="243">
        <f>+SUM(AD737:AD771)</f>
        <v>45351519</v>
      </c>
      <c r="AF771" s="245">
        <v>2378464</v>
      </c>
      <c r="AG771" s="243">
        <f>+SUM(AF737:AF771)</f>
        <v>45018386</v>
      </c>
      <c r="AH771" s="245">
        <v>108248</v>
      </c>
      <c r="AI771" s="243">
        <f>+SUM(AH737:AH771)</f>
        <v>2686717</v>
      </c>
    </row>
    <row r="772" spans="2:35">
      <c r="B772" s="327"/>
      <c r="C772" s="244"/>
      <c r="D772" s="237"/>
      <c r="E772" s="243"/>
      <c r="F772" s="237"/>
      <c r="G772" s="243"/>
      <c r="H772" s="237"/>
      <c r="I772" s="244"/>
      <c r="J772" s="237"/>
      <c r="K772" s="243"/>
      <c r="L772" s="244"/>
      <c r="M772" s="243"/>
      <c r="N772" s="237"/>
      <c r="O772" s="243"/>
      <c r="P772" s="237"/>
      <c r="Q772" s="243"/>
      <c r="R772" s="237"/>
      <c r="S772" s="243"/>
      <c r="T772" s="237"/>
      <c r="U772" s="243"/>
      <c r="V772" s="348"/>
      <c r="W772" s="243"/>
      <c r="X772" s="237"/>
      <c r="Y772" s="243"/>
      <c r="Z772" s="237"/>
      <c r="AA772" s="243"/>
      <c r="AB772" s="237"/>
      <c r="AC772" s="243"/>
      <c r="AD772" s="237"/>
      <c r="AE772" s="243"/>
      <c r="AF772" s="237"/>
      <c r="AG772" s="243"/>
      <c r="AH772" s="237"/>
      <c r="AI772" s="243"/>
    </row>
    <row r="773" spans="2:35" ht="12" thickBot="1">
      <c r="B773" s="667" t="s">
        <v>806</v>
      </c>
      <c r="C773" s="244"/>
      <c r="D773" s="237"/>
      <c r="E773" s="246">
        <f>SUM(E724:E772)</f>
        <v>10759609297</v>
      </c>
      <c r="F773" s="237"/>
      <c r="G773" s="246">
        <f>SUM(G724:G772)</f>
        <v>610799117</v>
      </c>
      <c r="H773" s="237"/>
      <c r="I773" s="513">
        <f>SUM(I724:I772)</f>
        <v>145824498</v>
      </c>
      <c r="J773" s="237"/>
      <c r="K773" s="246">
        <f>SUM(K724:K772)</f>
        <v>5605761692</v>
      </c>
      <c r="L773" s="244"/>
      <c r="M773" s="246">
        <f>SUM(M724:M772)</f>
        <v>928107266</v>
      </c>
      <c r="N773" s="237"/>
      <c r="O773" s="246">
        <f>SUM(O724:O772)</f>
        <v>0</v>
      </c>
      <c r="P773" s="237"/>
      <c r="Q773" s="246">
        <f>SUM(Q724:Q772)</f>
        <v>395987549</v>
      </c>
      <c r="R773" s="237"/>
      <c r="S773" s="246">
        <f>SUM(S724:S772)</f>
        <v>3683297</v>
      </c>
      <c r="T773" s="237"/>
      <c r="U773" s="246">
        <f>SUM(U724:U772)</f>
        <v>1226766147</v>
      </c>
      <c r="V773" s="348"/>
      <c r="W773" s="246">
        <f>SUM(W724:W772)</f>
        <v>494685169</v>
      </c>
      <c r="X773" s="237"/>
      <c r="Y773" s="246">
        <f>SUM(Y724:Y772)</f>
        <v>7882498</v>
      </c>
      <c r="Z773" s="237"/>
      <c r="AA773" s="246">
        <f>SUM(AA724:AA772)</f>
        <v>101240796</v>
      </c>
      <c r="AB773" s="237"/>
      <c r="AC773" s="246">
        <f>SUM(AC724:AC772)</f>
        <v>0</v>
      </c>
      <c r="AD773" s="237"/>
      <c r="AE773" s="246">
        <f>SUM(AE724:AE772)</f>
        <v>796146196</v>
      </c>
      <c r="AF773" s="237"/>
      <c r="AG773" s="246">
        <f>SUM(AG724:AG772)</f>
        <v>440038355</v>
      </c>
      <c r="AH773" s="237"/>
      <c r="AI773" s="246">
        <f>SUM(AI724:AI772)</f>
        <v>2686717</v>
      </c>
    </row>
    <row r="774" spans="2:35" ht="12.75" thickTop="1" thickBot="1">
      <c r="B774" s="245"/>
      <c r="C774" s="248"/>
      <c r="D774" s="245"/>
      <c r="E774" s="247"/>
      <c r="F774" s="248"/>
      <c r="G774" s="247"/>
      <c r="H774" s="248"/>
      <c r="I774" s="248"/>
      <c r="J774" s="245"/>
      <c r="K774" s="247"/>
      <c r="L774" s="248"/>
      <c r="M774" s="247"/>
      <c r="N774" s="248"/>
      <c r="O774" s="247"/>
      <c r="P774" s="248"/>
      <c r="Q774" s="247"/>
      <c r="R774" s="248"/>
      <c r="S774" s="247"/>
      <c r="T774" s="248"/>
      <c r="U774" s="247"/>
      <c r="V774" s="384"/>
      <c r="W774" s="247"/>
      <c r="X774" s="248"/>
      <c r="Y774" s="247"/>
      <c r="Z774" s="248"/>
      <c r="AA774" s="247"/>
      <c r="AB774" s="248"/>
      <c r="AC774" s="247"/>
      <c r="AD774" s="248"/>
      <c r="AE774" s="247"/>
      <c r="AF774" s="248"/>
      <c r="AG774" s="247"/>
      <c r="AH774" s="248"/>
      <c r="AI774" s="247"/>
    </row>
    <row r="775" spans="2:35" hidden="1"/>
    <row r="776" spans="2:35" ht="39.75" hidden="1" customHeight="1">
      <c r="B776" s="1475" t="s">
        <v>935</v>
      </c>
      <c r="C776" s="1475"/>
      <c r="D776" s="1475"/>
      <c r="E776" s="1475"/>
      <c r="F776" s="1475"/>
      <c r="G776" s="1475"/>
    </row>
    <row r="777" spans="2:35" hidden="1"/>
    <row r="778" spans="2:35" ht="35.25" hidden="1" customHeight="1">
      <c r="B778" s="1475" t="s">
        <v>936</v>
      </c>
      <c r="C778" s="1475"/>
      <c r="D778" s="1475"/>
      <c r="E778" s="1475"/>
      <c r="F778" s="1475"/>
      <c r="G778" s="1475"/>
    </row>
    <row r="779" spans="2:35" hidden="1"/>
    <row r="780" spans="2:35" ht="21.75" hidden="1">
      <c r="B780" s="318" t="s">
        <v>283</v>
      </c>
    </row>
    <row r="781" spans="2:35" hidden="1"/>
    <row r="782" spans="2:35" hidden="1">
      <c r="B782" s="451" t="s">
        <v>284</v>
      </c>
    </row>
    <row r="783" spans="2:35" ht="12" hidden="1" thickBot="1">
      <c r="G783" s="335" t="s">
        <v>247</v>
      </c>
    </row>
    <row r="784" spans="2:35" ht="12" hidden="1" thickBot="1">
      <c r="B784" s="425"/>
      <c r="C784" s="274"/>
      <c r="D784" s="1463" t="s">
        <v>860</v>
      </c>
      <c r="E784" s="1464"/>
      <c r="F784" s="1463" t="s">
        <v>17</v>
      </c>
      <c r="G784" s="1464"/>
      <c r="H784" s="1463" t="s">
        <v>18</v>
      </c>
      <c r="I784" s="1464"/>
      <c r="J784" s="1463" t="s">
        <v>19</v>
      </c>
      <c r="K784" s="1464"/>
      <c r="L784" s="1463" t="s">
        <v>20</v>
      </c>
      <c r="M784" s="1464"/>
      <c r="N784" s="1463" t="s">
        <v>21</v>
      </c>
      <c r="O784" s="1464"/>
      <c r="P784" s="1463" t="s">
        <v>22</v>
      </c>
      <c r="Q784" s="1464"/>
      <c r="R784" s="1463" t="s">
        <v>23</v>
      </c>
      <c r="S784" s="1464"/>
      <c r="T784" s="1463" t="s">
        <v>24</v>
      </c>
      <c r="U784" s="1464"/>
      <c r="V784" s="1463" t="s">
        <v>25</v>
      </c>
      <c r="W784" s="1464"/>
      <c r="X784" s="1463" t="s">
        <v>26</v>
      </c>
      <c r="Y784" s="1464"/>
      <c r="Z784" s="1463" t="s">
        <v>27</v>
      </c>
      <c r="AA784" s="1464"/>
      <c r="AB784" s="1463"/>
      <c r="AC784" s="1464"/>
      <c r="AD784" s="1463" t="s">
        <v>1266</v>
      </c>
      <c r="AE784" s="1464"/>
      <c r="AF784" s="1463" t="s">
        <v>30</v>
      </c>
      <c r="AG784" s="1464"/>
      <c r="AH784" s="1463" t="s">
        <v>31</v>
      </c>
      <c r="AI784" s="1464"/>
    </row>
    <row r="785" spans="2:35" hidden="1">
      <c r="B785" s="249" t="s">
        <v>883</v>
      </c>
      <c r="C785" s="251"/>
      <c r="D785" s="249"/>
      <c r="E785" s="250">
        <f>G785+I785+K785+M785+O785+Q785+S785+U785+W785+Y785+AA785+AC785+AE785+AG785+AI785</f>
        <v>0</v>
      </c>
      <c r="F785" s="249"/>
      <c r="G785" s="250">
        <v>0</v>
      </c>
      <c r="H785" s="249"/>
      <c r="I785" s="250"/>
      <c r="J785" s="249"/>
      <c r="K785" s="250"/>
      <c r="L785" s="249"/>
      <c r="M785" s="250"/>
      <c r="N785" s="249"/>
      <c r="O785" s="250"/>
      <c r="P785" s="249"/>
      <c r="Q785" s="250"/>
      <c r="R785" s="249"/>
      <c r="S785" s="250"/>
      <c r="T785" s="249"/>
      <c r="U785" s="250"/>
      <c r="V785" s="383"/>
      <c r="W785" s="250"/>
      <c r="X785" s="249"/>
      <c r="Y785" s="250"/>
      <c r="Z785" s="249"/>
      <c r="AA785" s="250"/>
      <c r="AB785" s="249"/>
      <c r="AC785" s="250"/>
      <c r="AD785" s="249"/>
      <c r="AE785" s="250"/>
      <c r="AF785" s="249"/>
      <c r="AG785" s="250"/>
      <c r="AH785" s="249"/>
      <c r="AI785" s="250"/>
    </row>
    <row r="786" spans="2:35" hidden="1">
      <c r="B786" s="237"/>
      <c r="C786" s="244"/>
      <c r="D786" s="237"/>
      <c r="E786" s="243">
        <f>G786+I786+K786+M786+O786+Q786+S786+U786+W786+Y786+AA786+AC786+AE786+AG786+AI786</f>
        <v>0</v>
      </c>
      <c r="F786" s="244"/>
      <c r="G786" s="243"/>
      <c r="H786" s="244"/>
      <c r="I786" s="243"/>
      <c r="J786" s="244"/>
      <c r="K786" s="243"/>
      <c r="L786" s="244"/>
      <c r="M786" s="243"/>
      <c r="N786" s="244"/>
      <c r="O786" s="243"/>
      <c r="P786" s="244"/>
      <c r="Q786" s="243"/>
      <c r="R786" s="244"/>
      <c r="S786" s="243"/>
      <c r="T786" s="244"/>
      <c r="U786" s="243"/>
      <c r="V786" s="341"/>
      <c r="W786" s="243"/>
      <c r="X786" s="244"/>
      <c r="Y786" s="243"/>
      <c r="Z786" s="244"/>
      <c r="AA786" s="243"/>
      <c r="AB786" s="244"/>
      <c r="AC786" s="243"/>
      <c r="AD786" s="244"/>
      <c r="AE786" s="243"/>
      <c r="AF786" s="244"/>
      <c r="AG786" s="243"/>
      <c r="AH786" s="244"/>
      <c r="AI786" s="243"/>
    </row>
    <row r="787" spans="2:35" ht="12" hidden="1" thickBot="1">
      <c r="B787" s="245"/>
      <c r="C787" s="248"/>
      <c r="D787" s="245"/>
      <c r="E787" s="247">
        <f>G787+I787+K787+M787+O787+Q787+S787+U787+W787+Y787+AA787+AC787+AE787+AG787+AI787</f>
        <v>0</v>
      </c>
      <c r="F787" s="248"/>
      <c r="G787" s="247"/>
      <c r="H787" s="248"/>
      <c r="I787" s="247"/>
      <c r="J787" s="248"/>
      <c r="K787" s="247"/>
      <c r="L787" s="248"/>
      <c r="M787" s="247"/>
      <c r="N787" s="248"/>
      <c r="O787" s="247"/>
      <c r="P787" s="248"/>
      <c r="Q787" s="247"/>
      <c r="R787" s="248"/>
      <c r="S787" s="247"/>
      <c r="T787" s="248"/>
      <c r="U787" s="247"/>
      <c r="V787" s="384"/>
      <c r="W787" s="247"/>
      <c r="X787" s="248"/>
      <c r="Y787" s="247"/>
      <c r="Z787" s="248"/>
      <c r="AA787" s="247"/>
      <c r="AB787" s="248"/>
      <c r="AC787" s="247"/>
      <c r="AD787" s="248"/>
      <c r="AE787" s="247"/>
      <c r="AF787" s="248"/>
      <c r="AG787" s="247"/>
      <c r="AH787" s="248"/>
      <c r="AI787" s="247"/>
    </row>
    <row r="788" spans="2:35" hidden="1"/>
    <row r="789" spans="2:35" hidden="1">
      <c r="B789" s="1477" t="s">
        <v>285</v>
      </c>
      <c r="C789" s="1477"/>
      <c r="D789" s="1477"/>
    </row>
    <row r="790" spans="2:35" ht="12" hidden="1" thickBot="1">
      <c r="G790" s="335" t="s">
        <v>247</v>
      </c>
    </row>
    <row r="791" spans="2:35" ht="12" hidden="1" thickBot="1">
      <c r="B791" s="425"/>
      <c r="C791" s="274"/>
      <c r="D791" s="1463" t="s">
        <v>860</v>
      </c>
      <c r="E791" s="1464"/>
      <c r="F791" s="1463" t="s">
        <v>17</v>
      </c>
      <c r="G791" s="1464"/>
      <c r="H791" s="1463" t="s">
        <v>18</v>
      </c>
      <c r="I791" s="1464"/>
      <c r="J791" s="1463" t="s">
        <v>19</v>
      </c>
      <c r="K791" s="1464"/>
      <c r="L791" s="1463" t="s">
        <v>20</v>
      </c>
      <c r="M791" s="1464"/>
      <c r="N791" s="1463" t="s">
        <v>21</v>
      </c>
      <c r="O791" s="1464"/>
      <c r="P791" s="1463" t="s">
        <v>22</v>
      </c>
      <c r="Q791" s="1464"/>
      <c r="R791" s="1463" t="s">
        <v>23</v>
      </c>
      <c r="S791" s="1464"/>
      <c r="T791" s="1463" t="s">
        <v>24</v>
      </c>
      <c r="U791" s="1464"/>
      <c r="V791" s="1463" t="s">
        <v>25</v>
      </c>
      <c r="W791" s="1464"/>
      <c r="X791" s="1463" t="s">
        <v>26</v>
      </c>
      <c r="Y791" s="1464"/>
      <c r="Z791" s="1463" t="s">
        <v>27</v>
      </c>
      <c r="AA791" s="1464"/>
      <c r="AB791" s="1463"/>
      <c r="AC791" s="1464"/>
      <c r="AD791" s="1463" t="s">
        <v>1266</v>
      </c>
      <c r="AE791" s="1464"/>
      <c r="AF791" s="1463" t="s">
        <v>30</v>
      </c>
      <c r="AG791" s="1464"/>
      <c r="AH791" s="1463" t="s">
        <v>31</v>
      </c>
      <c r="AI791" s="1464"/>
    </row>
    <row r="792" spans="2:35" hidden="1">
      <c r="B792" s="249" t="s">
        <v>291</v>
      </c>
      <c r="C792" s="251"/>
      <c r="D792" s="249"/>
      <c r="E792" s="250">
        <f>G792+I792+K792+M792+O792+Q792+S792+U792+W792+Y792+AA792+AC792+AE792+AG792+AI792</f>
        <v>0</v>
      </c>
      <c r="F792" s="249"/>
      <c r="G792" s="250"/>
      <c r="H792" s="249"/>
      <c r="I792" s="250"/>
      <c r="J792" s="249"/>
      <c r="K792" s="250"/>
      <c r="L792" s="249"/>
      <c r="M792" s="250"/>
      <c r="N792" s="249"/>
      <c r="O792" s="250"/>
      <c r="P792" s="249"/>
      <c r="Q792" s="250"/>
      <c r="R792" s="249"/>
      <c r="S792" s="250"/>
      <c r="T792" s="249"/>
      <c r="U792" s="250"/>
      <c r="V792" s="383"/>
      <c r="W792" s="250"/>
      <c r="X792" s="249"/>
      <c r="Y792" s="250"/>
      <c r="Z792" s="249"/>
      <c r="AA792" s="250"/>
      <c r="AB792" s="249"/>
      <c r="AC792" s="250"/>
      <c r="AD792" s="249"/>
      <c r="AE792" s="250"/>
      <c r="AF792" s="249"/>
      <c r="AG792" s="250"/>
      <c r="AH792" s="249"/>
      <c r="AI792" s="250"/>
    </row>
    <row r="793" spans="2:35" hidden="1">
      <c r="B793" s="237"/>
      <c r="C793" s="244"/>
      <c r="D793" s="237"/>
      <c r="E793" s="243">
        <f>G793+I793+K793+M793+O793+Q793+S793+U793+W793+Y793+AA793+AC793+AE793+AG793+AI793</f>
        <v>0</v>
      </c>
      <c r="F793" s="244"/>
      <c r="G793" s="243"/>
      <c r="H793" s="244"/>
      <c r="I793" s="243"/>
      <c r="J793" s="244"/>
      <c r="K793" s="243"/>
      <c r="L793" s="244"/>
      <c r="M793" s="243"/>
      <c r="N793" s="244"/>
      <c r="O793" s="243"/>
      <c r="P793" s="244"/>
      <c r="Q793" s="243"/>
      <c r="R793" s="244"/>
      <c r="S793" s="243"/>
      <c r="T793" s="244"/>
      <c r="U793" s="243"/>
      <c r="V793" s="341"/>
      <c r="W793" s="243"/>
      <c r="X793" s="244"/>
      <c r="Y793" s="243"/>
      <c r="Z793" s="244"/>
      <c r="AA793" s="243"/>
      <c r="AB793" s="244"/>
      <c r="AC793" s="243"/>
      <c r="AD793" s="244"/>
      <c r="AE793" s="243"/>
      <c r="AF793" s="244"/>
      <c r="AG793" s="243"/>
      <c r="AH793" s="244"/>
      <c r="AI793" s="243"/>
    </row>
    <row r="794" spans="2:35" ht="12" hidden="1" thickBot="1">
      <c r="B794" s="245"/>
      <c r="C794" s="248"/>
      <c r="D794" s="245"/>
      <c r="E794" s="247">
        <f>G794+I794+K794+M794+O794+Q794+S794+U794+W794+Y794+AA794+AC794+AE794+AG794+AI794</f>
        <v>0</v>
      </c>
      <c r="F794" s="248"/>
      <c r="G794" s="247"/>
      <c r="H794" s="248"/>
      <c r="I794" s="247"/>
      <c r="J794" s="248"/>
      <c r="K794" s="247"/>
      <c r="L794" s="248"/>
      <c r="M794" s="247"/>
      <c r="N794" s="248"/>
      <c r="O794" s="247"/>
      <c r="P794" s="248"/>
      <c r="Q794" s="247"/>
      <c r="R794" s="248"/>
      <c r="S794" s="247"/>
      <c r="T794" s="248"/>
      <c r="U794" s="247"/>
      <c r="V794" s="384"/>
      <c r="W794" s="247"/>
      <c r="X794" s="248"/>
      <c r="Y794" s="247"/>
      <c r="Z794" s="248"/>
      <c r="AA794" s="247"/>
      <c r="AB794" s="248"/>
      <c r="AC794" s="247"/>
      <c r="AD794" s="248"/>
      <c r="AE794" s="247"/>
      <c r="AF794" s="248"/>
      <c r="AG794" s="247"/>
      <c r="AH794" s="248"/>
      <c r="AI794" s="247"/>
    </row>
    <row r="796" spans="2:35">
      <c r="B796" s="444" t="s">
        <v>1023</v>
      </c>
    </row>
    <row r="797" spans="2:35" ht="12" thickBot="1">
      <c r="G797" s="335" t="s">
        <v>247</v>
      </c>
    </row>
    <row r="798" spans="2:35" ht="12" thickBot="1">
      <c r="B798" s="425"/>
      <c r="C798" s="274"/>
      <c r="D798" s="1473" t="s">
        <v>860</v>
      </c>
      <c r="E798" s="1474"/>
      <c r="F798" s="1463" t="s">
        <v>17</v>
      </c>
      <c r="G798" s="1464"/>
      <c r="H798" s="1463" t="s">
        <v>18</v>
      </c>
      <c r="I798" s="1464"/>
      <c r="J798" s="1463" t="s">
        <v>19</v>
      </c>
      <c r="K798" s="1464"/>
      <c r="L798" s="1463" t="s">
        <v>20</v>
      </c>
      <c r="M798" s="1464"/>
      <c r="N798" s="1463" t="s">
        <v>21</v>
      </c>
      <c r="O798" s="1464"/>
      <c r="P798" s="1463" t="s">
        <v>22</v>
      </c>
      <c r="Q798" s="1464"/>
      <c r="R798" s="1463" t="s">
        <v>23</v>
      </c>
      <c r="S798" s="1464"/>
      <c r="T798" s="1463" t="s">
        <v>24</v>
      </c>
      <c r="U798" s="1464"/>
      <c r="V798" s="1463" t="s">
        <v>25</v>
      </c>
      <c r="W798" s="1464"/>
      <c r="X798" s="1463" t="s">
        <v>26</v>
      </c>
      <c r="Y798" s="1464"/>
      <c r="Z798" s="1463" t="s">
        <v>27</v>
      </c>
      <c r="AA798" s="1464"/>
      <c r="AB798" s="1463"/>
      <c r="AC798" s="1464"/>
      <c r="AD798" s="1463" t="s">
        <v>1266</v>
      </c>
      <c r="AE798" s="1464"/>
      <c r="AF798" s="1463" t="s">
        <v>30</v>
      </c>
      <c r="AG798" s="1464"/>
      <c r="AH798" s="1463" t="s">
        <v>31</v>
      </c>
      <c r="AI798" s="1464"/>
    </row>
    <row r="799" spans="2:35">
      <c r="B799" s="452" t="s">
        <v>286</v>
      </c>
      <c r="C799" s="251"/>
      <c r="D799" s="249"/>
      <c r="E799" s="250">
        <f t="shared" ref="E799:E804" si="61">G799+I799+K799+M799+O799+Q799+S799+U799+W799+Y799+AA799+AC799+AE799+AG799+AI799</f>
        <v>2753925</v>
      </c>
      <c r="F799" s="251"/>
      <c r="G799" s="250">
        <v>1307580</v>
      </c>
      <c r="H799" s="251"/>
      <c r="I799" s="250">
        <v>173034</v>
      </c>
      <c r="J799" s="251"/>
      <c r="K799" s="250">
        <v>101124</v>
      </c>
      <c r="L799" s="251"/>
      <c r="M799" s="250">
        <v>129214</v>
      </c>
      <c r="N799" s="251"/>
      <c r="O799" s="250"/>
      <c r="P799" s="251"/>
      <c r="Q799" s="250">
        <v>159551</v>
      </c>
      <c r="R799" s="251"/>
      <c r="S799" s="250">
        <v>67500</v>
      </c>
      <c r="T799" s="251"/>
      <c r="U799" s="250">
        <v>153933</v>
      </c>
      <c r="V799" s="427"/>
      <c r="W799" s="250">
        <v>213484</v>
      </c>
      <c r="X799" s="251"/>
      <c r="Y799" s="250">
        <v>91200</v>
      </c>
      <c r="Z799" s="251"/>
      <c r="AA799" s="250">
        <v>121349</v>
      </c>
      <c r="AB799" s="251"/>
      <c r="AC799" s="250"/>
      <c r="AD799" s="251"/>
      <c r="AE799" s="250"/>
      <c r="AF799" s="251"/>
      <c r="AG799" s="250">
        <v>235956</v>
      </c>
      <c r="AH799" s="251"/>
      <c r="AI799" s="250"/>
    </row>
    <row r="800" spans="2:35">
      <c r="B800" s="364" t="s">
        <v>287</v>
      </c>
      <c r="C800" s="244"/>
      <c r="D800" s="237"/>
      <c r="E800" s="243">
        <f t="shared" si="61"/>
        <v>1376963</v>
      </c>
      <c r="F800" s="244"/>
      <c r="G800" s="243">
        <v>653790</v>
      </c>
      <c r="H800" s="244"/>
      <c r="I800" s="243">
        <v>86517</v>
      </c>
      <c r="J800" s="244"/>
      <c r="K800" s="243">
        <v>50562</v>
      </c>
      <c r="L800" s="244"/>
      <c r="M800" s="243">
        <v>64607</v>
      </c>
      <c r="N800" s="244"/>
      <c r="O800" s="243"/>
      <c r="P800" s="244"/>
      <c r="Q800" s="243">
        <v>79776</v>
      </c>
      <c r="R800" s="244"/>
      <c r="S800" s="243">
        <v>33750</v>
      </c>
      <c r="T800" s="244"/>
      <c r="U800" s="243">
        <v>76967</v>
      </c>
      <c r="V800" s="341"/>
      <c r="W800" s="243">
        <v>106742</v>
      </c>
      <c r="X800" s="244"/>
      <c r="Y800" s="243">
        <v>45600</v>
      </c>
      <c r="Z800" s="244"/>
      <c r="AA800" s="243">
        <v>60674</v>
      </c>
      <c r="AB800" s="244"/>
      <c r="AC800" s="243"/>
      <c r="AD800" s="244"/>
      <c r="AE800" s="243"/>
      <c r="AF800" s="244"/>
      <c r="AG800" s="243">
        <v>117978</v>
      </c>
      <c r="AH800" s="244"/>
      <c r="AI800" s="243"/>
    </row>
    <row r="801" spans="2:35">
      <c r="B801" s="364" t="s">
        <v>288</v>
      </c>
      <c r="C801" s="244"/>
      <c r="D801" s="237"/>
      <c r="E801" s="243">
        <f t="shared" si="61"/>
        <v>0</v>
      </c>
      <c r="F801" s="244"/>
      <c r="G801" s="243"/>
      <c r="H801" s="244"/>
      <c r="I801" s="243"/>
      <c r="J801" s="244"/>
      <c r="K801" s="243"/>
      <c r="L801" s="244"/>
      <c r="M801" s="243"/>
      <c r="N801" s="244"/>
      <c r="O801" s="243"/>
      <c r="P801" s="244"/>
      <c r="Q801" s="243"/>
      <c r="R801" s="244"/>
      <c r="S801" s="243"/>
      <c r="T801" s="244"/>
      <c r="U801" s="243"/>
      <c r="V801" s="341"/>
      <c r="W801" s="243"/>
      <c r="X801" s="244"/>
      <c r="Y801" s="243"/>
      <c r="Z801" s="244"/>
      <c r="AA801" s="243"/>
      <c r="AB801" s="244"/>
      <c r="AC801" s="243"/>
      <c r="AD801" s="244"/>
      <c r="AE801" s="243"/>
      <c r="AF801" s="244"/>
      <c r="AG801" s="243"/>
      <c r="AH801" s="244"/>
      <c r="AI801" s="243"/>
    </row>
    <row r="802" spans="2:35">
      <c r="B802" s="364" t="s">
        <v>289</v>
      </c>
      <c r="C802" s="244"/>
      <c r="D802" s="237"/>
      <c r="E802" s="243">
        <f t="shared" si="61"/>
        <v>0</v>
      </c>
      <c r="F802" s="244"/>
      <c r="G802" s="243"/>
      <c r="H802" s="244"/>
      <c r="I802" s="243"/>
      <c r="J802" s="244"/>
      <c r="K802" s="243"/>
      <c r="L802" s="244"/>
      <c r="M802" s="243"/>
      <c r="N802" s="244"/>
      <c r="O802" s="243"/>
      <c r="P802" s="244"/>
      <c r="Q802" s="243"/>
      <c r="R802" s="244"/>
      <c r="S802" s="243"/>
      <c r="T802" s="244"/>
      <c r="U802" s="243"/>
      <c r="V802" s="341"/>
      <c r="W802" s="243"/>
      <c r="X802" s="244"/>
      <c r="Y802" s="243"/>
      <c r="Z802" s="244"/>
      <c r="AA802" s="243"/>
      <c r="AB802" s="244"/>
      <c r="AC802" s="243"/>
      <c r="AD802" s="244"/>
      <c r="AE802" s="243"/>
      <c r="AF802" s="244"/>
      <c r="AG802" s="243"/>
      <c r="AH802" s="244"/>
      <c r="AI802" s="243"/>
    </row>
    <row r="803" spans="2:35">
      <c r="B803" s="364" t="s">
        <v>290</v>
      </c>
      <c r="C803" s="244"/>
      <c r="D803" s="237"/>
      <c r="E803" s="243">
        <f t="shared" si="61"/>
        <v>1655541</v>
      </c>
      <c r="F803" s="244"/>
      <c r="G803" s="243">
        <v>825858</v>
      </c>
      <c r="H803" s="244"/>
      <c r="I803" s="243">
        <v>111517</v>
      </c>
      <c r="J803" s="244"/>
      <c r="K803" s="243">
        <v>50562</v>
      </c>
      <c r="L803" s="244"/>
      <c r="M803" s="243">
        <v>56180</v>
      </c>
      <c r="N803" s="244"/>
      <c r="O803" s="243"/>
      <c r="P803" s="244"/>
      <c r="Q803" s="243">
        <v>71068</v>
      </c>
      <c r="R803" s="244"/>
      <c r="S803" s="243">
        <v>56745</v>
      </c>
      <c r="T803" s="244"/>
      <c r="U803" s="243">
        <v>68962</v>
      </c>
      <c r="V803" s="341"/>
      <c r="W803" s="243">
        <v>84270</v>
      </c>
      <c r="X803" s="244"/>
      <c r="Y803" s="243">
        <v>44985</v>
      </c>
      <c r="Z803" s="244"/>
      <c r="AA803" s="243">
        <v>60674</v>
      </c>
      <c r="AB803" s="244"/>
      <c r="AC803" s="243"/>
      <c r="AD803" s="244"/>
      <c r="AE803" s="243"/>
      <c r="AF803" s="244"/>
      <c r="AG803" s="243">
        <v>224720</v>
      </c>
      <c r="AH803" s="244"/>
      <c r="AI803" s="243"/>
    </row>
    <row r="804" spans="2:35" ht="12" thickBot="1">
      <c r="B804" s="453" t="s">
        <v>292</v>
      </c>
      <c r="C804" s="248"/>
      <c r="D804" s="245"/>
      <c r="E804" s="247">
        <f t="shared" si="61"/>
        <v>46293</v>
      </c>
      <c r="F804" s="248"/>
      <c r="G804" s="247"/>
      <c r="H804" s="248"/>
      <c r="I804" s="247"/>
      <c r="J804" s="248"/>
      <c r="K804" s="247"/>
      <c r="L804" s="248"/>
      <c r="M804" s="247"/>
      <c r="N804" s="248"/>
      <c r="O804" s="247"/>
      <c r="P804" s="248"/>
      <c r="Q804" s="247"/>
      <c r="R804" s="248"/>
      <c r="S804" s="247"/>
      <c r="T804" s="248"/>
      <c r="U804" s="247"/>
      <c r="V804" s="384"/>
      <c r="W804" s="247"/>
      <c r="X804" s="248"/>
      <c r="Y804" s="247">
        <v>22473</v>
      </c>
      <c r="Z804" s="248"/>
      <c r="AA804" s="247"/>
      <c r="AB804" s="248"/>
      <c r="AC804" s="247"/>
      <c r="AD804" s="248"/>
      <c r="AE804" s="247"/>
      <c r="AF804" s="248"/>
      <c r="AG804" s="247">
        <v>23820</v>
      </c>
      <c r="AH804" s="248"/>
      <c r="AI804" s="247"/>
    </row>
    <row r="805" spans="2:35" ht="12" thickBot="1">
      <c r="B805" s="454" t="s">
        <v>806</v>
      </c>
      <c r="C805" s="333"/>
      <c r="D805" s="339"/>
      <c r="E805" s="334">
        <f>SUM(E799:E804)</f>
        <v>5832722</v>
      </c>
      <c r="F805" s="339"/>
      <c r="G805" s="334">
        <f>SUM(G799:G804)</f>
        <v>2787228</v>
      </c>
      <c r="H805" s="339"/>
      <c r="I805" s="334">
        <f>SUM(I799:I804)</f>
        <v>371068</v>
      </c>
      <c r="J805" s="339"/>
      <c r="K805" s="334">
        <f>SUM(K799:K804)</f>
        <v>202248</v>
      </c>
      <c r="L805" s="339"/>
      <c r="M805" s="334">
        <f>SUM(M799:M804)</f>
        <v>250001</v>
      </c>
      <c r="N805" s="339"/>
      <c r="O805" s="334">
        <f>SUM(O799:O804)</f>
        <v>0</v>
      </c>
      <c r="P805" s="339"/>
      <c r="Q805" s="759">
        <f>SUM(Q799:Q804)</f>
        <v>310395</v>
      </c>
      <c r="R805" s="339"/>
      <c r="S805" s="334">
        <f>SUM(S799:S804)</f>
        <v>157995</v>
      </c>
      <c r="T805" s="339"/>
      <c r="U805" s="334">
        <f>SUM(U799:U804)</f>
        <v>299862</v>
      </c>
      <c r="V805" s="339"/>
      <c r="W805" s="334">
        <f>SUM(W799:W804)</f>
        <v>404496</v>
      </c>
      <c r="X805" s="339"/>
      <c r="Y805" s="334">
        <f>SUM(Y799:Y804)</f>
        <v>204258</v>
      </c>
      <c r="Z805" s="339"/>
      <c r="AA805" s="759">
        <f>SUM(AA799:AA804)</f>
        <v>242697</v>
      </c>
      <c r="AB805" s="339"/>
      <c r="AC805" s="334">
        <f>SUM(AC799:AC804)</f>
        <v>0</v>
      </c>
      <c r="AD805" s="339"/>
      <c r="AE805" s="334">
        <f>SUM(AE799:AE804)</f>
        <v>0</v>
      </c>
      <c r="AF805" s="339"/>
      <c r="AG805" s="334">
        <f>SUM(AG799:AG804)</f>
        <v>602474</v>
      </c>
      <c r="AH805" s="339"/>
      <c r="AI805" s="334">
        <f>SUM(AI799:AI804)</f>
        <v>0</v>
      </c>
    </row>
    <row r="807" spans="2:35">
      <c r="B807" s="444" t="s">
        <v>1024</v>
      </c>
    </row>
    <row r="808" spans="2:35" ht="12" thickBot="1">
      <c r="G808" s="335" t="s">
        <v>247</v>
      </c>
    </row>
    <row r="809" spans="2:35" ht="12" thickBot="1">
      <c r="B809" s="425"/>
      <c r="C809" s="274"/>
      <c r="D809" s="1463" t="s">
        <v>860</v>
      </c>
      <c r="E809" s="1464"/>
      <c r="F809" s="1463" t="s">
        <v>17</v>
      </c>
      <c r="G809" s="1464"/>
      <c r="H809" s="1463" t="s">
        <v>18</v>
      </c>
      <c r="I809" s="1464"/>
      <c r="J809" s="1463" t="s">
        <v>19</v>
      </c>
      <c r="K809" s="1464"/>
      <c r="L809" s="1463" t="s">
        <v>20</v>
      </c>
      <c r="M809" s="1464"/>
      <c r="N809" s="1463" t="s">
        <v>21</v>
      </c>
      <c r="O809" s="1464"/>
      <c r="P809" s="1463" t="s">
        <v>22</v>
      </c>
      <c r="Q809" s="1464"/>
      <c r="R809" s="1463" t="s">
        <v>23</v>
      </c>
      <c r="S809" s="1464"/>
      <c r="T809" s="1463" t="s">
        <v>24</v>
      </c>
      <c r="U809" s="1464"/>
      <c r="V809" s="1463" t="s">
        <v>25</v>
      </c>
      <c r="W809" s="1464"/>
      <c r="X809" s="1463" t="s">
        <v>26</v>
      </c>
      <c r="Y809" s="1464"/>
      <c r="Z809" s="1463" t="s">
        <v>27</v>
      </c>
      <c r="AA809" s="1464"/>
      <c r="AB809" s="1463"/>
      <c r="AC809" s="1464"/>
      <c r="AD809" s="1463" t="s">
        <v>1266</v>
      </c>
      <c r="AE809" s="1464"/>
      <c r="AF809" s="1463" t="s">
        <v>30</v>
      </c>
      <c r="AG809" s="1464"/>
      <c r="AH809" s="1463" t="s">
        <v>31</v>
      </c>
      <c r="AI809" s="1464"/>
    </row>
    <row r="810" spans="2:35">
      <c r="B810" s="445" t="s">
        <v>294</v>
      </c>
      <c r="C810" s="251"/>
      <c r="D810" s="249"/>
      <c r="E810" s="250"/>
      <c r="F810" s="251"/>
      <c r="G810" s="250"/>
      <c r="H810" s="251"/>
      <c r="I810" s="250"/>
      <c r="J810" s="251"/>
      <c r="K810" s="250"/>
      <c r="L810" s="251"/>
      <c r="M810" s="250"/>
      <c r="N810" s="251"/>
      <c r="O810" s="250"/>
      <c r="P810" s="251"/>
      <c r="Q810" s="250"/>
      <c r="R810" s="251"/>
      <c r="S810" s="250"/>
      <c r="T810" s="251"/>
      <c r="U810" s="250"/>
      <c r="V810" s="427"/>
      <c r="W810" s="250"/>
      <c r="X810" s="251"/>
      <c r="Y810" s="250"/>
      <c r="Z810" s="251"/>
      <c r="AA810" s="250"/>
      <c r="AB810" s="251"/>
      <c r="AC810" s="250"/>
      <c r="AD810" s="251"/>
      <c r="AE810" s="250"/>
      <c r="AF810" s="251"/>
      <c r="AG810" s="250"/>
      <c r="AH810" s="251"/>
      <c r="AI810" s="250"/>
    </row>
    <row r="811" spans="2:35">
      <c r="B811" s="364" t="s">
        <v>295</v>
      </c>
      <c r="C811" s="244"/>
      <c r="D811" s="237"/>
      <c r="E811" s="243">
        <f t="shared" ref="E811:E816" si="62">G811+I811+K811+M811+O811+Q811+S811+U811+W811+Y811+AA811+AC811+AE811+AG811+AI811</f>
        <v>3430209</v>
      </c>
      <c r="F811" s="244"/>
      <c r="G811" s="243">
        <v>1304842</v>
      </c>
      <c r="H811" s="244"/>
      <c r="I811" s="243"/>
      <c r="J811" s="244"/>
      <c r="K811" s="243"/>
      <c r="L811" s="244"/>
      <c r="M811" s="243"/>
      <c r="N811" s="244"/>
      <c r="O811" s="243"/>
      <c r="P811" s="244"/>
      <c r="Q811" s="243"/>
      <c r="R811" s="244"/>
      <c r="S811" s="243"/>
      <c r="T811" s="244"/>
      <c r="U811" s="243">
        <v>2071664</v>
      </c>
      <c r="V811" s="341"/>
      <c r="W811" s="243"/>
      <c r="X811" s="244"/>
      <c r="Y811" s="243"/>
      <c r="Z811" s="244"/>
      <c r="AA811" s="243"/>
      <c r="AB811" s="244"/>
      <c r="AC811" s="243"/>
      <c r="AD811" s="244"/>
      <c r="AE811" s="243">
        <v>53703</v>
      </c>
      <c r="AF811" s="244"/>
      <c r="AG811" s="243"/>
      <c r="AH811" s="244"/>
      <c r="AI811" s="243"/>
    </row>
    <row r="812" spans="2:35">
      <c r="B812" s="364" t="s">
        <v>296</v>
      </c>
      <c r="C812" s="244"/>
      <c r="D812" s="237"/>
      <c r="E812" s="243">
        <f t="shared" si="62"/>
        <v>0</v>
      </c>
      <c r="F812" s="244"/>
      <c r="G812" s="243"/>
      <c r="H812" s="244"/>
      <c r="I812" s="243"/>
      <c r="J812" s="244"/>
      <c r="K812" s="243"/>
      <c r="L812" s="244"/>
      <c r="M812" s="243"/>
      <c r="N812" s="244"/>
      <c r="O812" s="243"/>
      <c r="P812" s="244"/>
      <c r="Q812" s="243"/>
      <c r="R812" s="244"/>
      <c r="S812" s="243"/>
      <c r="T812" s="244"/>
      <c r="U812" s="243"/>
      <c r="V812" s="341"/>
      <c r="W812" s="243"/>
      <c r="X812" s="244"/>
      <c r="Y812" s="243"/>
      <c r="Z812" s="244"/>
      <c r="AA812" s="243"/>
      <c r="AB812" s="244"/>
      <c r="AC812" s="243"/>
      <c r="AD812" s="244"/>
      <c r="AE812" s="243"/>
      <c r="AF812" s="244"/>
      <c r="AG812" s="243"/>
      <c r="AH812" s="244"/>
      <c r="AI812" s="243"/>
    </row>
    <row r="813" spans="2:35">
      <c r="B813" s="364" t="s">
        <v>297</v>
      </c>
      <c r="C813" s="244"/>
      <c r="D813" s="237"/>
      <c r="E813" s="243">
        <f t="shared" si="62"/>
        <v>1634691</v>
      </c>
      <c r="F813" s="244"/>
      <c r="G813" s="243">
        <v>1433567</v>
      </c>
      <c r="H813" s="244"/>
      <c r="I813" s="243"/>
      <c r="J813" s="244"/>
      <c r="K813" s="243"/>
      <c r="L813" s="244"/>
      <c r="M813" s="243">
        <v>3684</v>
      </c>
      <c r="N813" s="244"/>
      <c r="O813" s="243"/>
      <c r="P813" s="244"/>
      <c r="Q813" s="243">
        <v>68668</v>
      </c>
      <c r="R813" s="244"/>
      <c r="S813" s="243"/>
      <c r="T813" s="244"/>
      <c r="U813" s="243"/>
      <c r="V813" s="341"/>
      <c r="W813" s="243"/>
      <c r="X813" s="244"/>
      <c r="Y813" s="243">
        <v>66340</v>
      </c>
      <c r="Z813" s="244"/>
      <c r="AA813" s="243">
        <v>24091</v>
      </c>
      <c r="AB813" s="244"/>
      <c r="AC813" s="243"/>
      <c r="AD813" s="244"/>
      <c r="AE813" s="243">
        <v>38341</v>
      </c>
      <c r="AF813" s="244"/>
      <c r="AG813" s="243"/>
      <c r="AH813" s="244"/>
      <c r="AI813" s="243"/>
    </row>
    <row r="814" spans="2:35">
      <c r="B814" s="364" t="s">
        <v>298</v>
      </c>
      <c r="C814" s="244"/>
      <c r="D814" s="237"/>
      <c r="E814" s="243">
        <f t="shared" si="62"/>
        <v>-18248</v>
      </c>
      <c r="F814" s="244"/>
      <c r="G814" s="243"/>
      <c r="H814" s="244"/>
      <c r="I814" s="243"/>
      <c r="J814" s="244"/>
      <c r="K814" s="243"/>
      <c r="L814" s="244"/>
      <c r="M814" s="243"/>
      <c r="N814" s="244"/>
      <c r="O814" s="243"/>
      <c r="P814" s="244"/>
      <c r="Q814" s="243"/>
      <c r="R814" s="244"/>
      <c r="S814" s="243"/>
      <c r="T814" s="244"/>
      <c r="U814" s="243">
        <v>-18248</v>
      </c>
      <c r="V814" s="341"/>
      <c r="W814" s="243"/>
      <c r="X814" s="244"/>
      <c r="Y814" s="243"/>
      <c r="Z814" s="244"/>
      <c r="AA814" s="243"/>
      <c r="AB814" s="244"/>
      <c r="AC814" s="243"/>
      <c r="AD814" s="244"/>
      <c r="AE814" s="243"/>
      <c r="AF814" s="244"/>
      <c r="AG814" s="243"/>
      <c r="AH814" s="244"/>
      <c r="AI814" s="243"/>
    </row>
    <row r="815" spans="2:35">
      <c r="B815" s="364" t="s">
        <v>78</v>
      </c>
      <c r="C815" s="244"/>
      <c r="D815" s="237"/>
      <c r="E815" s="243">
        <f t="shared" si="62"/>
        <v>0</v>
      </c>
      <c r="F815" s="244"/>
      <c r="G815" s="243"/>
      <c r="H815" s="244"/>
      <c r="I815" s="243"/>
      <c r="J815" s="244"/>
      <c r="K815" s="243"/>
      <c r="L815" s="244"/>
      <c r="M815" s="243"/>
      <c r="N815" s="244"/>
      <c r="O815" s="243"/>
      <c r="P815" s="244"/>
      <c r="Q815" s="243"/>
      <c r="R815" s="244"/>
      <c r="S815" s="243"/>
      <c r="T815" s="244"/>
      <c r="U815" s="243"/>
      <c r="V815" s="341"/>
      <c r="W815" s="243"/>
      <c r="X815" s="244"/>
      <c r="Y815" s="243"/>
      <c r="Z815" s="244"/>
      <c r="AA815" s="243"/>
      <c r="AB815" s="244"/>
      <c r="AC815" s="243"/>
      <c r="AD815" s="244"/>
      <c r="AE815" s="243"/>
      <c r="AF815" s="244"/>
      <c r="AG815" s="243"/>
      <c r="AH815" s="244"/>
      <c r="AI815" s="243"/>
    </row>
    <row r="816" spans="2:35">
      <c r="B816" s="364" t="s">
        <v>879</v>
      </c>
      <c r="C816" s="244"/>
      <c r="D816" s="237"/>
      <c r="E816" s="243">
        <f t="shared" si="62"/>
        <v>3056800</v>
      </c>
      <c r="F816" s="244"/>
      <c r="G816" s="243">
        <v>-715298</v>
      </c>
      <c r="H816" s="244"/>
      <c r="I816" s="243"/>
      <c r="J816" s="244"/>
      <c r="K816" s="243"/>
      <c r="L816" s="244"/>
      <c r="M816" s="243">
        <v>62818</v>
      </c>
      <c r="N816" s="244"/>
      <c r="O816" s="243"/>
      <c r="P816" s="244"/>
      <c r="Q816" s="243">
        <v>3243385</v>
      </c>
      <c r="R816" s="244"/>
      <c r="S816" s="243"/>
      <c r="T816" s="244"/>
      <c r="U816" s="243"/>
      <c r="V816" s="341"/>
      <c r="W816" s="243"/>
      <c r="X816" s="244"/>
      <c r="Y816" s="243"/>
      <c r="Z816" s="244"/>
      <c r="AA816" s="243"/>
      <c r="AB816" s="244"/>
      <c r="AC816" s="243"/>
      <c r="AD816" s="244"/>
      <c r="AE816" s="243">
        <v>465895</v>
      </c>
      <c r="AF816" s="244"/>
      <c r="AG816" s="243"/>
      <c r="AH816" s="244"/>
      <c r="AI816" s="243"/>
    </row>
    <row r="817" spans="2:35" ht="12" thickBot="1">
      <c r="B817" s="354" t="s">
        <v>859</v>
      </c>
      <c r="C817" s="244"/>
      <c r="D817" s="237"/>
      <c r="E817" s="246">
        <f>SUM(E811:E816)</f>
        <v>8103452</v>
      </c>
      <c r="F817" s="244"/>
      <c r="G817" s="246">
        <f>SUM(G811:G816)</f>
        <v>2023111</v>
      </c>
      <c r="H817" s="244"/>
      <c r="I817" s="246">
        <f>SUM(I811:I816)</f>
        <v>0</v>
      </c>
      <c r="J817" s="244"/>
      <c r="K817" s="246">
        <f>SUM(K811:K816)</f>
        <v>0</v>
      </c>
      <c r="L817" s="244"/>
      <c r="M817" s="246">
        <f>SUM(M811:M816)</f>
        <v>66502</v>
      </c>
      <c r="N817" s="244"/>
      <c r="O817" s="246">
        <f>SUM(O811:O816)</f>
        <v>0</v>
      </c>
      <c r="P817" s="244"/>
      <c r="Q817" s="246">
        <f>SUM(Q811:Q816)</f>
        <v>3312053</v>
      </c>
      <c r="R817" s="244"/>
      <c r="S817" s="246">
        <f>SUM(S811:S816)</f>
        <v>0</v>
      </c>
      <c r="T817" s="244"/>
      <c r="U817" s="246">
        <f>SUM(U811:U816)</f>
        <v>2053416</v>
      </c>
      <c r="V817" s="341"/>
      <c r="W817" s="246">
        <f>SUM(W811:W816)</f>
        <v>0</v>
      </c>
      <c r="X817" s="244"/>
      <c r="Y817" s="246">
        <f>SUM(Y811:Y816)</f>
        <v>66340</v>
      </c>
      <c r="Z817" s="244"/>
      <c r="AA817" s="246">
        <f>SUM(AA811:AA816)</f>
        <v>24091</v>
      </c>
      <c r="AB817" s="244"/>
      <c r="AC817" s="246">
        <f>SUM(AC811:AC816)</f>
        <v>0</v>
      </c>
      <c r="AD817" s="244"/>
      <c r="AE817" s="246">
        <f>SUM(AE811:AE816)</f>
        <v>557939</v>
      </c>
      <c r="AF817" s="244"/>
      <c r="AG817" s="246">
        <f>SUM(AG811:AG816)</f>
        <v>0</v>
      </c>
      <c r="AH817" s="244"/>
      <c r="AI817" s="246">
        <f>SUM(AI811:AI816)</f>
        <v>0</v>
      </c>
    </row>
    <row r="818" spans="2:35" ht="12" thickTop="1">
      <c r="B818" s="347" t="s">
        <v>299</v>
      </c>
      <c r="C818" s="244"/>
      <c r="D818" s="237"/>
      <c r="E818" s="243"/>
      <c r="F818" s="244"/>
      <c r="G818" s="243"/>
      <c r="H818" s="244"/>
      <c r="I818" s="243"/>
      <c r="J818" s="244"/>
      <c r="K818" s="243"/>
      <c r="L818" s="244"/>
      <c r="M818" s="243"/>
      <c r="N818" s="244"/>
      <c r="O818" s="243"/>
      <c r="P818" s="244"/>
      <c r="Q818" s="243"/>
      <c r="R818" s="244"/>
      <c r="S818" s="243"/>
      <c r="T818" s="244"/>
      <c r="U818" s="243"/>
      <c r="V818" s="341"/>
      <c r="W818" s="243"/>
      <c r="X818" s="244"/>
      <c r="Y818" s="243"/>
      <c r="Z818" s="244"/>
      <c r="AA818" s="243"/>
      <c r="AB818" s="244"/>
      <c r="AC818" s="243"/>
      <c r="AD818" s="244"/>
      <c r="AE818" s="243"/>
      <c r="AF818" s="244"/>
      <c r="AG818" s="243"/>
      <c r="AH818" s="244"/>
      <c r="AI818" s="243"/>
    </row>
    <row r="819" spans="2:35">
      <c r="B819" s="364" t="s">
        <v>300</v>
      </c>
      <c r="C819" s="244"/>
      <c r="D819" s="237"/>
      <c r="E819" s="243">
        <f>G819+I819+K819+M819+O819+Q819+S819+U819+W819+Y819+AA819+AC819+AE819+AG819+AI819</f>
        <v>292796</v>
      </c>
      <c r="F819" s="244"/>
      <c r="G819" s="243"/>
      <c r="H819" s="244"/>
      <c r="I819" s="243"/>
      <c r="J819" s="244"/>
      <c r="K819" s="243"/>
      <c r="L819" s="244"/>
      <c r="M819" s="243"/>
      <c r="N819" s="244"/>
      <c r="O819" s="243"/>
      <c r="P819" s="244"/>
      <c r="Q819" s="243"/>
      <c r="R819" s="244"/>
      <c r="S819" s="243">
        <v>-199375</v>
      </c>
      <c r="T819" s="244"/>
      <c r="U819" s="243"/>
      <c r="V819" s="341"/>
      <c r="W819" s="243"/>
      <c r="X819" s="244"/>
      <c r="Y819" s="243"/>
      <c r="Z819" s="244"/>
      <c r="AA819" s="243"/>
      <c r="AB819" s="244"/>
      <c r="AC819" s="243"/>
      <c r="AD819" s="244"/>
      <c r="AE819" s="243">
        <v>492171</v>
      </c>
      <c r="AF819" s="244"/>
      <c r="AG819" s="243"/>
      <c r="AH819" s="244"/>
      <c r="AI819" s="243"/>
    </row>
    <row r="820" spans="2:35">
      <c r="B820" s="364" t="s">
        <v>298</v>
      </c>
      <c r="C820" s="244"/>
      <c r="D820" s="237"/>
      <c r="E820" s="243">
        <f>G820+I820+K820+M820+O820+Q820+S820+U820+W820+Y820+AA820+AC820+AE820+AG820+AI820</f>
        <v>-15797673</v>
      </c>
      <c r="F820" s="244"/>
      <c r="G820" s="243"/>
      <c r="H820" s="244"/>
      <c r="I820" s="243"/>
      <c r="J820" s="244"/>
      <c r="K820" s="243"/>
      <c r="L820" s="244"/>
      <c r="M820" s="243"/>
      <c r="N820" s="244"/>
      <c r="O820" s="243"/>
      <c r="P820" s="244"/>
      <c r="Q820" s="243"/>
      <c r="R820" s="244"/>
      <c r="S820" s="243"/>
      <c r="T820" s="244"/>
      <c r="U820" s="243"/>
      <c r="V820" s="341"/>
      <c r="W820" s="243"/>
      <c r="X820" s="244"/>
      <c r="Y820" s="243"/>
      <c r="Z820" s="244"/>
      <c r="AA820" s="243"/>
      <c r="AB820" s="244"/>
      <c r="AC820" s="243"/>
      <c r="AD820" s="244"/>
      <c r="AE820" s="243"/>
      <c r="AF820" s="244"/>
      <c r="AG820" s="243">
        <v>-15797673</v>
      </c>
      <c r="AH820" s="244"/>
      <c r="AI820" s="243"/>
    </row>
    <row r="821" spans="2:35">
      <c r="B821" s="364" t="s">
        <v>301</v>
      </c>
      <c r="C821" s="244"/>
      <c r="D821" s="237"/>
      <c r="E821" s="243">
        <f>G821+I821+K821+M821+O821+Q821+S821+U821+W821+Y821+AA821+AC821+AE821+AG821+AI821</f>
        <v>7613563</v>
      </c>
      <c r="F821" s="244"/>
      <c r="G821" s="243"/>
      <c r="H821" s="244"/>
      <c r="I821" s="243">
        <v>108000</v>
      </c>
      <c r="J821" s="244"/>
      <c r="K821" s="243"/>
      <c r="L821" s="244"/>
      <c r="M821" s="243">
        <v>140800</v>
      </c>
      <c r="N821" s="244"/>
      <c r="O821" s="243"/>
      <c r="P821" s="244"/>
      <c r="Q821" s="243">
        <v>6066108</v>
      </c>
      <c r="R821" s="244"/>
      <c r="S821" s="243">
        <v>898655</v>
      </c>
      <c r="T821" s="244"/>
      <c r="U821" s="243"/>
      <c r="V821" s="341"/>
      <c r="W821" s="243"/>
      <c r="X821" s="244"/>
      <c r="Y821" s="243"/>
      <c r="Z821" s="244"/>
      <c r="AA821" s="243">
        <v>400000</v>
      </c>
      <c r="AB821" s="244"/>
      <c r="AC821" s="243"/>
      <c r="AD821" s="244"/>
      <c r="AE821" s="243"/>
      <c r="AF821" s="244"/>
      <c r="AG821" s="243"/>
      <c r="AH821" s="244"/>
      <c r="AI821" s="243"/>
    </row>
    <row r="822" spans="2:35" ht="12" thickBot="1">
      <c r="B822" s="354" t="s">
        <v>859</v>
      </c>
      <c r="C822" s="244"/>
      <c r="D822" s="237"/>
      <c r="E822" s="246">
        <f>SUM(E819:E821)</f>
        <v>-7891314</v>
      </c>
      <c r="F822" s="244"/>
      <c r="G822" s="246">
        <f>SUM(G819:G821)</f>
        <v>0</v>
      </c>
      <c r="H822" s="244"/>
      <c r="I822" s="246">
        <f>SUM(I819:I821)</f>
        <v>108000</v>
      </c>
      <c r="J822" s="244"/>
      <c r="K822" s="246">
        <f>SUM(K819:K821)</f>
        <v>0</v>
      </c>
      <c r="L822" s="244"/>
      <c r="M822" s="246">
        <f>SUM(M819:M821)</f>
        <v>140800</v>
      </c>
      <c r="N822" s="244"/>
      <c r="O822" s="246">
        <f>SUM(O819:O821)</f>
        <v>0</v>
      </c>
      <c r="P822" s="244"/>
      <c r="Q822" s="246">
        <f>SUM(Q819:Q821)</f>
        <v>6066108</v>
      </c>
      <c r="R822" s="244"/>
      <c r="S822" s="246">
        <f>SUM(S819:S821)</f>
        <v>699280</v>
      </c>
      <c r="T822" s="244"/>
      <c r="U822" s="246">
        <f>SUM(U819:U821)</f>
        <v>0</v>
      </c>
      <c r="V822" s="341"/>
      <c r="W822" s="246">
        <f>SUM(W819:W821)</f>
        <v>0</v>
      </c>
      <c r="X822" s="244"/>
      <c r="Y822" s="246">
        <f>SUM(Y819:Y821)</f>
        <v>0</v>
      </c>
      <c r="Z822" s="244"/>
      <c r="AA822" s="246">
        <f>SUM(AA819:AA821)</f>
        <v>400000</v>
      </c>
      <c r="AB822" s="244"/>
      <c r="AC822" s="246">
        <f>SUM(AC819:AC821)</f>
        <v>0</v>
      </c>
      <c r="AD822" s="244"/>
      <c r="AE822" s="246">
        <f>SUM(AE819:AE821)</f>
        <v>492171</v>
      </c>
      <c r="AF822" s="244"/>
      <c r="AG822" s="246">
        <f>SUM(AG819:AG821)</f>
        <v>-15797673</v>
      </c>
      <c r="AH822" s="244"/>
      <c r="AI822" s="246">
        <f>SUM(AI819:AI821)</f>
        <v>0</v>
      </c>
    </row>
    <row r="823" spans="2:35" ht="12.75" thickTop="1" thickBot="1">
      <c r="B823" s="354" t="s">
        <v>302</v>
      </c>
      <c r="C823" s="244"/>
      <c r="D823" s="237"/>
      <c r="E823" s="455">
        <f>+E817-E822</f>
        <v>15994766</v>
      </c>
      <c r="F823" s="244"/>
      <c r="G823" s="455">
        <f>+G817-G822</f>
        <v>2023111</v>
      </c>
      <c r="H823" s="244"/>
      <c r="I823" s="455">
        <f>+I817-I822</f>
        <v>-108000</v>
      </c>
      <c r="J823" s="244"/>
      <c r="K823" s="455">
        <f>+K817-K822</f>
        <v>0</v>
      </c>
      <c r="L823" s="244"/>
      <c r="M823" s="455">
        <f>+M817-M822</f>
        <v>-74298</v>
      </c>
      <c r="N823" s="244"/>
      <c r="O823" s="455">
        <f>+O817-O822</f>
        <v>0</v>
      </c>
      <c r="P823" s="244"/>
      <c r="Q823" s="455">
        <f>+Q817-Q822</f>
        <v>-2754055</v>
      </c>
      <c r="R823" s="244"/>
      <c r="S823" s="455">
        <f>+S817-S822</f>
        <v>-699280</v>
      </c>
      <c r="T823" s="244"/>
      <c r="U823" s="455">
        <f>+U817-U822</f>
        <v>2053416</v>
      </c>
      <c r="V823" s="341"/>
      <c r="W823" s="455">
        <f>+W817-W822</f>
        <v>0</v>
      </c>
      <c r="X823" s="244"/>
      <c r="Y823" s="455">
        <f>+Y817-Y822</f>
        <v>66340</v>
      </c>
      <c r="Z823" s="244"/>
      <c r="AA823" s="455">
        <f>+AA817-AA822</f>
        <v>-375909</v>
      </c>
      <c r="AB823" s="244"/>
      <c r="AC823" s="455">
        <f>+AC817-AC822</f>
        <v>0</v>
      </c>
      <c r="AD823" s="244"/>
      <c r="AE823" s="455">
        <f>+AE817-AE822</f>
        <v>65768</v>
      </c>
      <c r="AF823" s="244"/>
      <c r="AG823" s="455">
        <f>+AG817-AG822</f>
        <v>15797673</v>
      </c>
      <c r="AH823" s="244"/>
      <c r="AI823" s="455">
        <f>+AI817-AI822</f>
        <v>0</v>
      </c>
    </row>
    <row r="824" spans="2:35" ht="12.75" thickTop="1" thickBot="1">
      <c r="B824" s="245"/>
      <c r="C824" s="248"/>
      <c r="D824" s="245"/>
      <c r="E824" s="247"/>
      <c r="F824" s="248"/>
      <c r="G824" s="247"/>
      <c r="H824" s="248"/>
      <c r="I824" s="247"/>
      <c r="J824" s="248"/>
      <c r="K824" s="247"/>
      <c r="L824" s="248"/>
      <c r="M824" s="247"/>
      <c r="N824" s="248"/>
      <c r="O824" s="247"/>
      <c r="P824" s="248"/>
      <c r="Q824" s="247"/>
      <c r="R824" s="248"/>
      <c r="S824" s="247"/>
      <c r="T824" s="248"/>
      <c r="U824" s="247"/>
      <c r="V824" s="384"/>
      <c r="W824" s="247"/>
      <c r="X824" s="248"/>
      <c r="Y824" s="247"/>
      <c r="Z824" s="248"/>
      <c r="AA824" s="247"/>
      <c r="AB824" s="248"/>
      <c r="AC824" s="247"/>
      <c r="AD824" s="248"/>
      <c r="AE824" s="247"/>
      <c r="AF824" s="248"/>
      <c r="AG824" s="247"/>
      <c r="AH824" s="248"/>
      <c r="AI824" s="247"/>
    </row>
    <row r="826" spans="2:35" ht="38.25" hidden="1" customHeight="1">
      <c r="B826" s="1475" t="s">
        <v>937</v>
      </c>
      <c r="C826" s="1475"/>
      <c r="D826" s="1475"/>
      <c r="E826" s="1475"/>
      <c r="F826" s="1475"/>
      <c r="G826" s="1475"/>
    </row>
    <row r="827" spans="2:35" hidden="1"/>
    <row r="828" spans="2:35" ht="39.75" hidden="1" customHeight="1">
      <c r="B828" s="1476" t="s">
        <v>938</v>
      </c>
      <c r="C828" s="1476"/>
      <c r="D828" s="1476"/>
      <c r="E828" s="1476"/>
      <c r="F828" s="1476"/>
      <c r="G828" s="1476"/>
    </row>
    <row r="829" spans="2:35" hidden="1"/>
    <row r="830" spans="2:35">
      <c r="B830" s="70" t="s">
        <v>559</v>
      </c>
      <c r="C830" s="495"/>
      <c r="D830" s="495"/>
      <c r="E830" s="495"/>
      <c r="F830" s="495"/>
      <c r="G830" s="495"/>
    </row>
    <row r="831" spans="2:35">
      <c r="B831" s="70"/>
      <c r="C831" s="495"/>
      <c r="D831" s="495"/>
      <c r="E831" s="495"/>
      <c r="F831" s="495"/>
      <c r="G831" s="495"/>
    </row>
    <row r="832" spans="2:35">
      <c r="B832" s="103" t="s">
        <v>570</v>
      </c>
      <c r="C832" s="495"/>
      <c r="D832" s="495"/>
      <c r="E832" s="495"/>
      <c r="F832" s="495"/>
      <c r="G832" s="495"/>
    </row>
    <row r="833" spans="2:35" ht="12" thickBot="1">
      <c r="B833" s="495"/>
      <c r="C833" s="495"/>
      <c r="D833" s="495"/>
      <c r="E833" s="495"/>
      <c r="F833" s="495"/>
      <c r="G833" s="1" t="s">
        <v>826</v>
      </c>
    </row>
    <row r="834" spans="2:35" ht="12" thickBot="1">
      <c r="B834" s="120"/>
      <c r="C834" s="496"/>
      <c r="D834" s="1473" t="s">
        <v>860</v>
      </c>
      <c r="E834" s="1474"/>
      <c r="F834" s="1473" t="s">
        <v>17</v>
      </c>
      <c r="G834" s="1474"/>
      <c r="H834" s="1463" t="s">
        <v>18</v>
      </c>
      <c r="I834" s="1464"/>
      <c r="J834" s="1463" t="s">
        <v>19</v>
      </c>
      <c r="K834" s="1464"/>
      <c r="L834" s="1463" t="s">
        <v>20</v>
      </c>
      <c r="M834" s="1464"/>
      <c r="N834" s="1463" t="s">
        <v>21</v>
      </c>
      <c r="O834" s="1464"/>
      <c r="P834" s="1463" t="s">
        <v>22</v>
      </c>
      <c r="Q834" s="1464"/>
      <c r="R834" s="1463" t="s">
        <v>23</v>
      </c>
      <c r="S834" s="1464"/>
      <c r="T834" s="1463" t="s">
        <v>24</v>
      </c>
      <c r="U834" s="1464"/>
      <c r="V834" s="1463" t="s">
        <v>25</v>
      </c>
      <c r="W834" s="1464"/>
      <c r="X834" s="1463" t="s">
        <v>26</v>
      </c>
      <c r="Y834" s="1464"/>
      <c r="Z834" s="1463" t="s">
        <v>27</v>
      </c>
      <c r="AA834" s="1464"/>
      <c r="AB834" s="1463"/>
      <c r="AC834" s="1464"/>
      <c r="AD834" s="1463" t="s">
        <v>1266</v>
      </c>
      <c r="AE834" s="1464"/>
      <c r="AF834" s="1463" t="s">
        <v>30</v>
      </c>
      <c r="AG834" s="1464"/>
      <c r="AH834" s="1463" t="s">
        <v>31</v>
      </c>
      <c r="AI834" s="1464"/>
    </row>
    <row r="835" spans="2:35" ht="22.5" customHeight="1">
      <c r="B835" s="1457" t="s">
        <v>571</v>
      </c>
      <c r="C835" s="1458"/>
      <c r="D835" s="497"/>
      <c r="E835" s="250">
        <f t="shared" ref="E835:E843" si="63">G835+I835+K835+M835+O835+Q835+S835+U835+W835+Y835+AA835+AC835+AE835+AG835+AI835</f>
        <v>141136865</v>
      </c>
      <c r="F835" s="539"/>
      <c r="G835" s="250">
        <v>826418</v>
      </c>
      <c r="H835" s="539"/>
      <c r="I835" s="250">
        <v>1595936</v>
      </c>
      <c r="J835" s="539"/>
      <c r="K835" s="250">
        <v>323116</v>
      </c>
      <c r="L835" s="539"/>
      <c r="M835" s="250">
        <v>4274475</v>
      </c>
      <c r="N835" s="539"/>
      <c r="O835" s="250"/>
      <c r="P835" s="539"/>
      <c r="Q835" s="250">
        <v>1958135</v>
      </c>
      <c r="R835" s="539"/>
      <c r="S835" s="250"/>
      <c r="T835" s="539"/>
      <c r="U835" s="250">
        <v>7701494</v>
      </c>
      <c r="V835" s="539"/>
      <c r="W835" s="250">
        <v>1676812</v>
      </c>
      <c r="X835" s="539"/>
      <c r="Y835" s="250"/>
      <c r="Z835" s="539"/>
      <c r="AA835" s="250">
        <v>64239179</v>
      </c>
      <c r="AB835" s="539"/>
      <c r="AC835" s="250"/>
      <c r="AD835" s="539"/>
      <c r="AE835" s="250">
        <v>58541300</v>
      </c>
      <c r="AF835" s="539"/>
      <c r="AG835" s="250"/>
      <c r="AH835" s="539"/>
      <c r="AI835" s="250"/>
    </row>
    <row r="836" spans="2:35" ht="23.25" customHeight="1">
      <c r="B836" s="1440" t="s">
        <v>572</v>
      </c>
      <c r="C836" s="1454"/>
      <c r="D836" s="498"/>
      <c r="E836" s="243">
        <f t="shared" si="63"/>
        <v>0</v>
      </c>
      <c r="F836" s="540"/>
      <c r="G836" s="243"/>
      <c r="H836" s="540"/>
      <c r="I836" s="243"/>
      <c r="J836" s="540"/>
      <c r="K836" s="243"/>
      <c r="L836" s="540"/>
      <c r="M836" s="243"/>
      <c r="N836" s="540"/>
      <c r="O836" s="243"/>
      <c r="P836" s="540"/>
      <c r="Q836" s="243"/>
      <c r="R836" s="540"/>
      <c r="S836" s="243"/>
      <c r="T836" s="540"/>
      <c r="U836" s="243"/>
      <c r="V836" s="540"/>
      <c r="W836" s="243"/>
      <c r="X836" s="540"/>
      <c r="Y836" s="243"/>
      <c r="Z836" s="540"/>
      <c r="AA836" s="243"/>
      <c r="AB836" s="540"/>
      <c r="AC836" s="243"/>
      <c r="AD836" s="540"/>
      <c r="AE836" s="243"/>
      <c r="AF836" s="540"/>
      <c r="AG836" s="243"/>
      <c r="AH836" s="540"/>
      <c r="AI836" s="243"/>
    </row>
    <row r="837" spans="2:35">
      <c r="B837" s="96" t="s">
        <v>573</v>
      </c>
      <c r="C837" s="499"/>
      <c r="D837" s="498"/>
      <c r="E837" s="243">
        <f t="shared" si="63"/>
        <v>-318987</v>
      </c>
      <c r="F837" s="540"/>
      <c r="G837" s="243">
        <v>-19786</v>
      </c>
      <c r="H837" s="540"/>
      <c r="I837" s="243">
        <v>1</v>
      </c>
      <c r="J837" s="540"/>
      <c r="K837" s="243">
        <v>-58697</v>
      </c>
      <c r="L837" s="540"/>
      <c r="M837" s="243">
        <v>-38188</v>
      </c>
      <c r="N837" s="540"/>
      <c r="O837" s="243"/>
      <c r="P837" s="540"/>
      <c r="Q837" s="243">
        <v>-5975</v>
      </c>
      <c r="R837" s="540"/>
      <c r="S837" s="243">
        <v>-44499</v>
      </c>
      <c r="T837" s="540"/>
      <c r="U837" s="243">
        <v>-999</v>
      </c>
      <c r="V837" s="540"/>
      <c r="W837" s="243">
        <v>-3989</v>
      </c>
      <c r="X837" s="540"/>
      <c r="Y837" s="243">
        <v>-116183</v>
      </c>
      <c r="Z837" s="540"/>
      <c r="AA837" s="243">
        <v>-2356</v>
      </c>
      <c r="AB837" s="540"/>
      <c r="AC837" s="243"/>
      <c r="AD837" s="540"/>
      <c r="AE837" s="243">
        <v>-8235</v>
      </c>
      <c r="AF837" s="540"/>
      <c r="AG837" s="243">
        <v>-20081</v>
      </c>
      <c r="AH837" s="540"/>
      <c r="AI837" s="243"/>
    </row>
    <row r="838" spans="2:35" ht="23.25" customHeight="1">
      <c r="B838" s="96" t="s">
        <v>1221</v>
      </c>
      <c r="C838" s="499"/>
      <c r="D838" s="498"/>
      <c r="E838" s="243">
        <f t="shared" si="63"/>
        <v>0</v>
      </c>
      <c r="F838" s="540"/>
      <c r="G838" s="243"/>
      <c r="H838" s="540"/>
      <c r="I838" s="243"/>
      <c r="J838" s="540"/>
      <c r="K838" s="243"/>
      <c r="L838" s="540"/>
      <c r="M838" s="243"/>
      <c r="N838" s="540"/>
      <c r="O838" s="243"/>
      <c r="P838" s="540"/>
      <c r="Q838" s="243"/>
      <c r="R838" s="540"/>
      <c r="S838" s="243"/>
      <c r="T838" s="540"/>
      <c r="U838" s="243"/>
      <c r="V838" s="540"/>
      <c r="W838" s="243"/>
      <c r="X838" s="540"/>
      <c r="Y838" s="243"/>
      <c r="Z838" s="540"/>
      <c r="AA838" s="243"/>
      <c r="AB838" s="540"/>
      <c r="AC838" s="243"/>
      <c r="AD838" s="540"/>
      <c r="AE838" s="243"/>
      <c r="AF838" s="540"/>
      <c r="AG838" s="243"/>
      <c r="AH838" s="540"/>
      <c r="AI838" s="243"/>
    </row>
    <row r="839" spans="2:35">
      <c r="B839" s="1440" t="s">
        <v>1267</v>
      </c>
      <c r="C839" s="1454"/>
      <c r="D839" s="498"/>
      <c r="E839" s="243">
        <f t="shared" si="63"/>
        <v>3535577</v>
      </c>
      <c r="F839" s="540"/>
      <c r="G839" s="243"/>
      <c r="H839" s="540"/>
      <c r="I839" s="243"/>
      <c r="J839" s="540"/>
      <c r="K839" s="243"/>
      <c r="L839" s="540"/>
      <c r="M839" s="243"/>
      <c r="N839" s="540"/>
      <c r="O839" s="243"/>
      <c r="P839" s="540"/>
      <c r="Q839" s="243"/>
      <c r="R839" s="540"/>
      <c r="S839" s="243"/>
      <c r="T839" s="540"/>
      <c r="U839" s="243"/>
      <c r="V839" s="540"/>
      <c r="W839" s="243"/>
      <c r="X839" s="540"/>
      <c r="Y839" s="243"/>
      <c r="Z839" s="540"/>
      <c r="AA839" s="243"/>
      <c r="AB839" s="540"/>
      <c r="AC839" s="243"/>
      <c r="AD839" s="540"/>
      <c r="AE839" s="243">
        <v>3535577</v>
      </c>
      <c r="AF839" s="540"/>
      <c r="AG839" s="243"/>
      <c r="AH839" s="540"/>
      <c r="AI839" s="243"/>
    </row>
    <row r="840" spans="2:35">
      <c r="B840" s="96" t="s">
        <v>576</v>
      </c>
      <c r="C840" s="499"/>
      <c r="D840" s="498"/>
      <c r="E840" s="243">
        <f t="shared" si="63"/>
        <v>323385025</v>
      </c>
      <c r="F840" s="540"/>
      <c r="G840" s="243">
        <v>322706850</v>
      </c>
      <c r="H840" s="540"/>
      <c r="I840" s="243"/>
      <c r="J840" s="540"/>
      <c r="K840" s="243"/>
      <c r="L840" s="540"/>
      <c r="M840" s="243"/>
      <c r="N840" s="540"/>
      <c r="O840" s="243"/>
      <c r="P840" s="540"/>
      <c r="Q840" s="243"/>
      <c r="R840" s="540"/>
      <c r="S840" s="243"/>
      <c r="T840" s="540"/>
      <c r="U840" s="243"/>
      <c r="V840" s="540"/>
      <c r="W840" s="243"/>
      <c r="X840" s="540"/>
      <c r="Y840" s="243"/>
      <c r="Z840" s="540"/>
      <c r="AA840" s="243"/>
      <c r="AB840" s="540"/>
      <c r="AC840" s="243"/>
      <c r="AD840" s="540"/>
      <c r="AE840" s="243">
        <v>678175</v>
      </c>
      <c r="AF840" s="540"/>
      <c r="AG840" s="243"/>
      <c r="AH840" s="540"/>
      <c r="AI840" s="243"/>
    </row>
    <row r="841" spans="2:35">
      <c r="B841" s="96" t="s">
        <v>90</v>
      </c>
      <c r="C841" s="499"/>
      <c r="D841" s="498"/>
      <c r="E841" s="243">
        <f t="shared" si="63"/>
        <v>0</v>
      </c>
      <c r="F841" s="540"/>
      <c r="G841" s="243"/>
      <c r="H841" s="540"/>
      <c r="I841" s="243"/>
      <c r="J841" s="540"/>
      <c r="K841" s="243"/>
      <c r="L841" s="540"/>
      <c r="M841" s="243"/>
      <c r="N841" s="540"/>
      <c r="O841" s="243"/>
      <c r="P841" s="540"/>
      <c r="Q841" s="243"/>
      <c r="R841" s="540"/>
      <c r="S841" s="243"/>
      <c r="T841" s="540"/>
      <c r="U841" s="243"/>
      <c r="V841" s="540"/>
      <c r="W841" s="243"/>
      <c r="X841" s="540"/>
      <c r="Y841" s="243"/>
      <c r="Z841" s="540"/>
      <c r="AA841" s="243"/>
      <c r="AB841" s="540"/>
      <c r="AC841" s="243"/>
      <c r="AD841" s="540"/>
      <c r="AE841" s="243"/>
      <c r="AF841" s="540"/>
      <c r="AG841" s="243"/>
      <c r="AH841" s="540"/>
      <c r="AI841" s="243"/>
    </row>
    <row r="842" spans="2:35">
      <c r="B842" s="96" t="s">
        <v>1025</v>
      </c>
      <c r="C842" s="499"/>
      <c r="D842" s="498"/>
      <c r="E842" s="243">
        <f t="shared" si="63"/>
        <v>-698293792.99000001</v>
      </c>
      <c r="F842" s="540"/>
      <c r="G842" s="243">
        <f>-434092020-145848477</f>
        <v>-579940497</v>
      </c>
      <c r="H842" s="540"/>
      <c r="I842" s="243">
        <v>-9869137</v>
      </c>
      <c r="J842" s="540"/>
      <c r="K842" s="243">
        <v>-3862383</v>
      </c>
      <c r="L842" s="540"/>
      <c r="M842" s="243">
        <v>-3587634</v>
      </c>
      <c r="N842" s="540"/>
      <c r="O842" s="243"/>
      <c r="P842" s="540"/>
      <c r="Q842" s="243">
        <v>-13630689</v>
      </c>
      <c r="R842" s="540"/>
      <c r="S842" s="243">
        <v>741158</v>
      </c>
      <c r="T842" s="540"/>
      <c r="U842" s="243">
        <v>-11197382</v>
      </c>
      <c r="V842" s="540"/>
      <c r="W842" s="243">
        <v>-35934099</v>
      </c>
      <c r="X842" s="540"/>
      <c r="Y842" s="243">
        <v>1552853</v>
      </c>
      <c r="Z842" s="540"/>
      <c r="AA842" s="243">
        <v>-13712544</v>
      </c>
      <c r="AB842" s="540"/>
      <c r="AC842" s="243"/>
      <c r="AD842" s="540"/>
      <c r="AE842" s="243">
        <v>509000.01</v>
      </c>
      <c r="AF842" s="540"/>
      <c r="AG842" s="243">
        <v>-29362439</v>
      </c>
      <c r="AH842" s="540"/>
      <c r="AI842" s="243"/>
    </row>
    <row r="843" spans="2:35" ht="21.75" thickBot="1">
      <c r="B843" s="96" t="s">
        <v>91</v>
      </c>
      <c r="C843" s="499"/>
      <c r="D843" s="498"/>
      <c r="E843" s="247">
        <f t="shared" si="63"/>
        <v>0</v>
      </c>
      <c r="F843" s="540"/>
      <c r="G843" s="247"/>
      <c r="H843" s="540"/>
      <c r="I843" s="247"/>
      <c r="J843" s="540"/>
      <c r="K843" s="247"/>
      <c r="L843" s="540"/>
      <c r="M843" s="247"/>
      <c r="N843" s="540"/>
      <c r="O843" s="247"/>
      <c r="P843" s="540"/>
      <c r="Q843" s="247"/>
      <c r="R843" s="540"/>
      <c r="S843" s="247"/>
      <c r="T843" s="540"/>
      <c r="U843" s="247"/>
      <c r="V843" s="540"/>
      <c r="W843" s="247"/>
      <c r="X843" s="540"/>
      <c r="Y843" s="247"/>
      <c r="Z843" s="540"/>
      <c r="AA843" s="247"/>
      <c r="AB843" s="540"/>
      <c r="AC843" s="247"/>
      <c r="AD843" s="540"/>
      <c r="AE843" s="247"/>
      <c r="AF843" s="540"/>
      <c r="AG843" s="247"/>
      <c r="AH843" s="540"/>
      <c r="AI843" s="247"/>
    </row>
    <row r="844" spans="2:35" ht="12" thickBot="1">
      <c r="B844" s="500"/>
      <c r="C844" s="501"/>
      <c r="D844" s="502"/>
      <c r="E844" s="503">
        <f>SUM(E835:E843)</f>
        <v>-230555312.99000001</v>
      </c>
      <c r="F844" s="504"/>
      <c r="G844" s="503">
        <f>SUM(G835:G843)</f>
        <v>-256427015</v>
      </c>
      <c r="H844" s="541"/>
      <c r="I844" s="503">
        <f>SUM(I835:I843)</f>
        <v>-8273200</v>
      </c>
      <c r="J844" s="541"/>
      <c r="K844" s="503">
        <f>SUM(K835:K843)</f>
        <v>-3597964</v>
      </c>
      <c r="L844" s="541"/>
      <c r="M844" s="503">
        <f>SUM(M835:M843)</f>
        <v>648653</v>
      </c>
      <c r="N844" s="541"/>
      <c r="O844" s="503">
        <f>SUM(O835:O843)</f>
        <v>0</v>
      </c>
      <c r="P844" s="541"/>
      <c r="Q844" s="503">
        <f>SUM(Q835:Q843)</f>
        <v>-11678529</v>
      </c>
      <c r="R844" s="541"/>
      <c r="S844" s="503">
        <f>SUM(S835:S843)</f>
        <v>696659</v>
      </c>
      <c r="T844" s="541"/>
      <c r="U844" s="503">
        <f>SUM(U835:U843)</f>
        <v>-3496887</v>
      </c>
      <c r="V844" s="541"/>
      <c r="W844" s="503">
        <f>SUM(W835:W843)</f>
        <v>-34261276</v>
      </c>
      <c r="X844" s="541"/>
      <c r="Y844" s="503">
        <f>SUM(Y835:Y843)</f>
        <v>1436670</v>
      </c>
      <c r="Z844" s="541"/>
      <c r="AA844" s="503">
        <f>SUM(AA835:AA843)</f>
        <v>50524279</v>
      </c>
      <c r="AB844" s="541"/>
      <c r="AC844" s="503">
        <f>SUM(AC835:AC843)</f>
        <v>0</v>
      </c>
      <c r="AD844" s="541"/>
      <c r="AE844" s="503">
        <f>SUM(AE835:AE843)</f>
        <v>63255817.009999998</v>
      </c>
      <c r="AF844" s="541"/>
      <c r="AG844" s="503">
        <f>SUM(AG835:AG843)</f>
        <v>-29382520</v>
      </c>
      <c r="AH844" s="541"/>
      <c r="AI844" s="503">
        <f>SUM(AI835:AI843)</f>
        <v>0</v>
      </c>
    </row>
    <row r="845" spans="2:35">
      <c r="B845" s="70"/>
      <c r="C845" s="495"/>
      <c r="D845" s="495"/>
      <c r="E845" s="495"/>
      <c r="F845" s="495"/>
      <c r="G845" s="495"/>
    </row>
    <row r="846" spans="2:35" ht="22.5" hidden="1" customHeight="1">
      <c r="B846" s="1470" t="s">
        <v>577</v>
      </c>
      <c r="C846" s="1470"/>
      <c r="D846" s="1470"/>
      <c r="E846" s="1470"/>
      <c r="F846" s="1470"/>
      <c r="G846" s="1470"/>
    </row>
    <row r="847" spans="2:35" hidden="1">
      <c r="B847" s="1470"/>
      <c r="C847" s="1470"/>
      <c r="D847" s="1470"/>
      <c r="E847" s="1470"/>
      <c r="F847" s="1470"/>
      <c r="G847" s="1470"/>
    </row>
    <row r="848" spans="2:35" hidden="1">
      <c r="B848" s="1470"/>
      <c r="C848" s="1470"/>
      <c r="D848" s="1470"/>
      <c r="E848" s="1470"/>
      <c r="F848" s="1470"/>
      <c r="G848" s="1470"/>
    </row>
    <row r="849" spans="2:35" hidden="1">
      <c r="B849" s="1470"/>
      <c r="C849" s="1470"/>
      <c r="D849" s="1470"/>
      <c r="E849" s="1470"/>
      <c r="F849" s="1470"/>
      <c r="G849" s="1470"/>
    </row>
    <row r="850" spans="2:35" hidden="1"/>
    <row r="851" spans="2:35" hidden="1"/>
    <row r="852" spans="2:35" hidden="1">
      <c r="B852" s="1471" t="s">
        <v>303</v>
      </c>
      <c r="C852" s="1471"/>
      <c r="D852" s="1471"/>
      <c r="E852" s="1471"/>
      <c r="F852" s="1471"/>
      <c r="G852" s="1471"/>
    </row>
    <row r="853" spans="2:35" hidden="1"/>
    <row r="854" spans="2:35" ht="29.25" hidden="1" customHeight="1">
      <c r="B854" s="1472" t="s">
        <v>304</v>
      </c>
      <c r="C854" s="1472"/>
      <c r="D854" s="1472"/>
      <c r="E854" s="1472"/>
      <c r="F854" s="1472"/>
      <c r="G854" s="1472"/>
    </row>
    <row r="855" spans="2:35" hidden="1"/>
    <row r="856" spans="2:35" hidden="1">
      <c r="B856" s="1472" t="s">
        <v>434</v>
      </c>
      <c r="C856" s="1472"/>
      <c r="D856" s="1472"/>
      <c r="E856" s="1472"/>
      <c r="F856" s="1472"/>
      <c r="G856" s="1472"/>
    </row>
    <row r="857" spans="2:35" hidden="1"/>
    <row r="858" spans="2:35">
      <c r="B858" s="697" t="s">
        <v>1026</v>
      </c>
    </row>
    <row r="859" spans="2:35">
      <c r="B859" s="318" t="s">
        <v>1027</v>
      </c>
    </row>
    <row r="860" spans="2:35" ht="12" thickBot="1">
      <c r="G860" s="335" t="s">
        <v>247</v>
      </c>
    </row>
    <row r="861" spans="2:35" ht="12" thickBot="1">
      <c r="B861" s="425"/>
      <c r="C861" s="274"/>
      <c r="D861" s="1463" t="s">
        <v>860</v>
      </c>
      <c r="E861" s="1464"/>
      <c r="F861" s="1463" t="s">
        <v>17</v>
      </c>
      <c r="G861" s="1464"/>
      <c r="H861" s="1463" t="s">
        <v>18</v>
      </c>
      <c r="I861" s="1464"/>
      <c r="J861" s="1463" t="s">
        <v>19</v>
      </c>
      <c r="K861" s="1464"/>
      <c r="L861" s="1463" t="s">
        <v>20</v>
      </c>
      <c r="M861" s="1464"/>
      <c r="N861" s="1463" t="s">
        <v>21</v>
      </c>
      <c r="O861" s="1464"/>
      <c r="P861" s="1463" t="s">
        <v>22</v>
      </c>
      <c r="Q861" s="1464"/>
      <c r="R861" s="1463" t="s">
        <v>23</v>
      </c>
      <c r="S861" s="1464"/>
      <c r="T861" s="1463" t="s">
        <v>24</v>
      </c>
      <c r="U861" s="1464"/>
      <c r="V861" s="1463" t="s">
        <v>25</v>
      </c>
      <c r="W861" s="1464"/>
      <c r="X861" s="1463" t="s">
        <v>26</v>
      </c>
      <c r="Y861" s="1464"/>
      <c r="Z861" s="1463" t="s">
        <v>27</v>
      </c>
      <c r="AA861" s="1464"/>
      <c r="AB861" s="1463"/>
      <c r="AC861" s="1464"/>
      <c r="AD861" s="1463" t="s">
        <v>1266</v>
      </c>
      <c r="AE861" s="1464"/>
      <c r="AF861" s="1463" t="s">
        <v>30</v>
      </c>
      <c r="AG861" s="1464"/>
      <c r="AH861" s="1463" t="s">
        <v>31</v>
      </c>
      <c r="AI861" s="1464"/>
    </row>
    <row r="862" spans="2:35">
      <c r="B862" s="376" t="s">
        <v>436</v>
      </c>
      <c r="C862" s="251"/>
      <c r="D862" s="249"/>
      <c r="E862" s="250"/>
      <c r="F862" s="251"/>
      <c r="G862" s="250"/>
      <c r="H862" s="251"/>
      <c r="I862" s="250"/>
      <c r="J862" s="251"/>
      <c r="K862" s="250"/>
      <c r="L862" s="251"/>
      <c r="M862" s="250"/>
      <c r="N862" s="251"/>
      <c r="O862" s="250"/>
      <c r="P862" s="251"/>
      <c r="Q862" s="250"/>
      <c r="R862" s="251"/>
      <c r="S862" s="250"/>
      <c r="T862" s="251"/>
      <c r="U862" s="250"/>
      <c r="V862" s="427"/>
      <c r="W862" s="250"/>
      <c r="X862" s="251"/>
      <c r="Y862" s="250"/>
      <c r="Z862" s="251"/>
      <c r="AA862" s="250"/>
      <c r="AB862" s="251"/>
      <c r="AC862" s="250"/>
      <c r="AD862" s="251"/>
      <c r="AE862" s="250"/>
      <c r="AF862" s="251"/>
      <c r="AG862" s="250"/>
      <c r="AH862" s="251"/>
      <c r="AI862" s="250"/>
    </row>
    <row r="863" spans="2:35">
      <c r="B863" s="364" t="s">
        <v>437</v>
      </c>
      <c r="C863" s="244"/>
      <c r="D863" s="237"/>
      <c r="E863" s="243">
        <f>G863+I863+K863+M863+O863+Q863+S863+U863+W863+Y863+AA863+AC863+AE863+AG863+AI863</f>
        <v>136045704625.62</v>
      </c>
      <c r="F863" s="244"/>
      <c r="G863" s="243">
        <v>76762733383</v>
      </c>
      <c r="H863" s="244"/>
      <c r="I863" s="777">
        <v>1725423984</v>
      </c>
      <c r="J863" s="458"/>
      <c r="K863" s="777">
        <v>13082372794</v>
      </c>
      <c r="L863" s="458"/>
      <c r="M863" s="777">
        <v>12533407571</v>
      </c>
      <c r="N863" s="458"/>
      <c r="O863" s="777"/>
      <c r="P863" s="458"/>
      <c r="Q863" s="777">
        <v>7666594320</v>
      </c>
      <c r="R863" s="458"/>
      <c r="S863" s="777"/>
      <c r="T863" s="458"/>
      <c r="U863" s="777">
        <v>4523118392</v>
      </c>
      <c r="V863" s="459"/>
      <c r="W863" s="777">
        <v>5337615253</v>
      </c>
      <c r="X863" s="458"/>
      <c r="Y863" s="777">
        <v>756005673</v>
      </c>
      <c r="Z863" s="458"/>
      <c r="AA863" s="777">
        <v>235461445</v>
      </c>
      <c r="AB863" s="458"/>
      <c r="AC863" s="777"/>
      <c r="AD863" s="458"/>
      <c r="AE863" s="777">
        <v>8533810970.6200008</v>
      </c>
      <c r="AF863" s="458"/>
      <c r="AG863" s="777">
        <v>4889160840</v>
      </c>
      <c r="AH863" s="458"/>
      <c r="AI863" s="777"/>
    </row>
    <row r="864" spans="2:35">
      <c r="B864" s="364" t="s">
        <v>438</v>
      </c>
      <c r="C864" s="244"/>
      <c r="D864" s="237"/>
      <c r="E864" s="243">
        <f>G864+I864+K864+M864+O864+Q864+S864+U864+W864+Y864+AA864+AC864+AE864+AG864+AI864</f>
        <v>1222048456</v>
      </c>
      <c r="F864" s="244"/>
      <c r="G864" s="243"/>
      <c r="H864" s="244"/>
      <c r="I864" s="243"/>
      <c r="J864" s="244"/>
      <c r="K864" s="243"/>
      <c r="L864" s="244"/>
      <c r="M864" s="243"/>
      <c r="N864" s="244"/>
      <c r="O864" s="243"/>
      <c r="P864" s="244"/>
      <c r="Q864" s="243"/>
      <c r="R864" s="244"/>
      <c r="S864" s="243"/>
      <c r="T864" s="244"/>
      <c r="U864" s="243"/>
      <c r="V864" s="341"/>
      <c r="W864" s="243"/>
      <c r="X864" s="244"/>
      <c r="Y864" s="243"/>
      <c r="Z864" s="244"/>
      <c r="AA864" s="243"/>
      <c r="AB864" s="244"/>
      <c r="AC864" s="243"/>
      <c r="AD864" s="244"/>
      <c r="AE864" s="243">
        <v>1222048456</v>
      </c>
      <c r="AF864" s="244"/>
      <c r="AG864" s="243"/>
      <c r="AH864" s="244"/>
      <c r="AI864" s="243"/>
    </row>
    <row r="865" spans="2:35">
      <c r="B865" s="364" t="s">
        <v>439</v>
      </c>
      <c r="C865" s="244"/>
      <c r="D865" s="237"/>
      <c r="E865" s="243">
        <f>G865+I865+K865+M865+O865+Q865+S865+U865+W865+Y865+AA865+AC865+AE865+AG865+AI865</f>
        <v>0</v>
      </c>
      <c r="F865" s="244"/>
      <c r="G865" s="243"/>
      <c r="H865" s="244"/>
      <c r="I865" s="243"/>
      <c r="J865" s="244"/>
      <c r="K865" s="243"/>
      <c r="L865" s="244"/>
      <c r="M865" s="243"/>
      <c r="N865" s="244"/>
      <c r="O865" s="243"/>
      <c r="P865" s="244"/>
      <c r="Q865" s="243"/>
      <c r="R865" s="244"/>
      <c r="S865" s="243"/>
      <c r="T865" s="244"/>
      <c r="U865" s="243"/>
      <c r="V865" s="341"/>
      <c r="W865" s="243"/>
      <c r="X865" s="244"/>
      <c r="Y865" s="243"/>
      <c r="Z865" s="244"/>
      <c r="AA865" s="243"/>
      <c r="AB865" s="244"/>
      <c r="AC865" s="243"/>
      <c r="AD865" s="244"/>
      <c r="AE865" s="243"/>
      <c r="AF865" s="244"/>
      <c r="AG865" s="243"/>
      <c r="AH865" s="244"/>
      <c r="AI865" s="243"/>
    </row>
    <row r="866" spans="2:35">
      <c r="B866" s="364" t="s">
        <v>440</v>
      </c>
      <c r="C866" s="244"/>
      <c r="D866" s="237"/>
      <c r="E866" s="243">
        <f>G866+I866+K866+M866+O866+Q866+S866+U866+W866+Y866+AA866+AC866+AE866+AG866+AI866</f>
        <v>0</v>
      </c>
      <c r="F866" s="244"/>
      <c r="G866" s="243"/>
      <c r="H866" s="244"/>
      <c r="I866" s="243"/>
      <c r="J866" s="244"/>
      <c r="K866" s="243"/>
      <c r="L866" s="244"/>
      <c r="M866" s="243"/>
      <c r="N866" s="244"/>
      <c r="O866" s="243"/>
      <c r="P866" s="244"/>
      <c r="Q866" s="243"/>
      <c r="R866" s="244"/>
      <c r="S866" s="243"/>
      <c r="T866" s="244"/>
      <c r="U866" s="243"/>
      <c r="V866" s="341"/>
      <c r="W866" s="243"/>
      <c r="X866" s="244"/>
      <c r="Y866" s="243"/>
      <c r="Z866" s="244"/>
      <c r="AA866" s="243"/>
      <c r="AB866" s="244"/>
      <c r="AC866" s="243"/>
      <c r="AD866" s="244"/>
      <c r="AE866" s="243"/>
      <c r="AF866" s="244"/>
      <c r="AG866" s="243"/>
      <c r="AH866" s="244"/>
      <c r="AI866" s="243"/>
    </row>
    <row r="867" spans="2:35" ht="12" thickBot="1">
      <c r="B867" s="667" t="s">
        <v>860</v>
      </c>
      <c r="C867" s="244"/>
      <c r="D867" s="237"/>
      <c r="E867" s="246">
        <f>SUM(E862:E866)</f>
        <v>137267753081.62</v>
      </c>
      <c r="F867" s="244"/>
      <c r="G867" s="246">
        <f>SUM(G862:G866)</f>
        <v>76762733383</v>
      </c>
      <c r="H867" s="244"/>
      <c r="I867" s="246">
        <f>SUM(I862:I866)</f>
        <v>1725423984</v>
      </c>
      <c r="J867" s="244"/>
      <c r="K867" s="246">
        <f>SUM(K862:K866)</f>
        <v>13082372794</v>
      </c>
      <c r="L867" s="244"/>
      <c r="M867" s="246">
        <f>SUM(M862:M866)</f>
        <v>12533407571</v>
      </c>
      <c r="N867" s="244"/>
      <c r="O867" s="246">
        <f>SUM(O862:O866)</f>
        <v>0</v>
      </c>
      <c r="P867" s="244"/>
      <c r="Q867" s="246">
        <f>SUM(Q862:Q866)</f>
        <v>7666594320</v>
      </c>
      <c r="R867" s="244"/>
      <c r="S867" s="246">
        <f>SUM(S862:S866)</f>
        <v>0</v>
      </c>
      <c r="T867" s="244"/>
      <c r="U867" s="246">
        <f>SUM(U862:U866)</f>
        <v>4523118392</v>
      </c>
      <c r="V867" s="341"/>
      <c r="W867" s="246">
        <f>SUM(W862:W866)</f>
        <v>5337615253</v>
      </c>
      <c r="X867" s="244"/>
      <c r="Y867" s="246">
        <f>SUM(Y862:Y866)</f>
        <v>756005673</v>
      </c>
      <c r="Z867" s="244"/>
      <c r="AA867" s="246">
        <f>SUM(AA862:AA866)</f>
        <v>235461445</v>
      </c>
      <c r="AB867" s="244"/>
      <c r="AC867" s="246">
        <f>SUM(AC862:AC866)</f>
        <v>0</v>
      </c>
      <c r="AD867" s="244"/>
      <c r="AE867" s="246">
        <f>SUM(AE862:AE866)</f>
        <v>9755859426.6200008</v>
      </c>
      <c r="AF867" s="244"/>
      <c r="AG867" s="246">
        <f>SUM(AG862:AG866)</f>
        <v>4889160840</v>
      </c>
      <c r="AH867" s="244"/>
      <c r="AI867" s="246">
        <f>SUM(AI862:AI866)</f>
        <v>0</v>
      </c>
    </row>
    <row r="868" spans="2:35" ht="12.75" thickTop="1" thickBot="1">
      <c r="B868" s="245"/>
      <c r="C868" s="248"/>
      <c r="D868" s="245"/>
      <c r="E868" s="247"/>
      <c r="F868" s="248"/>
      <c r="G868" s="247"/>
      <c r="H868" s="248"/>
      <c r="I868" s="247"/>
      <c r="J868" s="248"/>
      <c r="K868" s="247"/>
      <c r="L868" s="248"/>
      <c r="M868" s="247"/>
      <c r="N868" s="248"/>
      <c r="O868" s="247"/>
      <c r="P868" s="248"/>
      <c r="Q868" s="247"/>
      <c r="R868" s="248"/>
      <c r="S868" s="247"/>
      <c r="T868" s="248"/>
      <c r="U868" s="247"/>
      <c r="V868" s="384"/>
      <c r="W868" s="247"/>
      <c r="X868" s="248"/>
      <c r="Y868" s="247"/>
      <c r="Z868" s="248"/>
      <c r="AA868" s="247"/>
      <c r="AB868" s="248"/>
      <c r="AC868" s="247"/>
      <c r="AD868" s="248"/>
      <c r="AE868" s="247"/>
      <c r="AF868" s="248"/>
      <c r="AG868" s="247"/>
      <c r="AH868" s="248"/>
      <c r="AI868" s="247"/>
    </row>
    <row r="870" spans="2:35">
      <c r="B870" s="676" t="s">
        <v>1028</v>
      </c>
    </row>
    <row r="871" spans="2:35" ht="12" thickBot="1">
      <c r="G871" s="335" t="s">
        <v>247</v>
      </c>
    </row>
    <row r="872" spans="2:35" ht="12" thickBot="1">
      <c r="B872" s="456" t="s">
        <v>442</v>
      </c>
      <c r="C872" s="274"/>
      <c r="D872" s="1463" t="s">
        <v>860</v>
      </c>
      <c r="E872" s="1464"/>
      <c r="F872" s="1463" t="s">
        <v>17</v>
      </c>
      <c r="G872" s="1464"/>
      <c r="H872" s="1463" t="s">
        <v>18</v>
      </c>
      <c r="I872" s="1464"/>
      <c r="J872" s="1463" t="s">
        <v>19</v>
      </c>
      <c r="K872" s="1464"/>
      <c r="L872" s="1463" t="s">
        <v>20</v>
      </c>
      <c r="M872" s="1464"/>
      <c r="N872" s="1463" t="s">
        <v>21</v>
      </c>
      <c r="O872" s="1464"/>
      <c r="P872" s="1463" t="s">
        <v>22</v>
      </c>
      <c r="Q872" s="1464"/>
      <c r="R872" s="1463" t="s">
        <v>23</v>
      </c>
      <c r="S872" s="1464"/>
      <c r="T872" s="1463" t="s">
        <v>24</v>
      </c>
      <c r="U872" s="1464"/>
      <c r="V872" s="1463" t="s">
        <v>25</v>
      </c>
      <c r="W872" s="1464"/>
      <c r="X872" s="1463" t="s">
        <v>26</v>
      </c>
      <c r="Y872" s="1464"/>
      <c r="Z872" s="1463" t="s">
        <v>27</v>
      </c>
      <c r="AA872" s="1464"/>
      <c r="AB872" s="1463"/>
      <c r="AC872" s="1464"/>
      <c r="AD872" s="1463" t="s">
        <v>1266</v>
      </c>
      <c r="AE872" s="1464"/>
      <c r="AF872" s="1463" t="s">
        <v>30</v>
      </c>
      <c r="AG872" s="1464"/>
      <c r="AH872" s="1463" t="s">
        <v>31</v>
      </c>
      <c r="AI872" s="1464"/>
    </row>
    <row r="873" spans="2:35">
      <c r="B873" s="452" t="s">
        <v>443</v>
      </c>
      <c r="C873" s="251"/>
      <c r="D873" s="249"/>
      <c r="E873" s="250">
        <f t="shared" ref="E873:E885" si="64">G873+I873+K873+M873+O873+Q873+S873+U873+W873+Y873+AA873+AC873+AE873+AG873+AI873</f>
        <v>0</v>
      </c>
      <c r="F873" s="251"/>
      <c r="G873" s="250"/>
      <c r="H873" s="251"/>
      <c r="I873" s="250"/>
      <c r="J873" s="251"/>
      <c r="K873" s="250"/>
      <c r="L873" s="251"/>
      <c r="M873" s="250"/>
      <c r="N873" s="251"/>
      <c r="O873" s="250"/>
      <c r="P873" s="251"/>
      <c r="Q873" s="250"/>
      <c r="R873" s="251"/>
      <c r="S873" s="250"/>
      <c r="T873" s="251"/>
      <c r="U873" s="250"/>
      <c r="V873" s="427"/>
      <c r="W873" s="250"/>
      <c r="X873" s="251"/>
      <c r="Y873" s="250"/>
      <c r="Z873" s="251"/>
      <c r="AA873" s="250"/>
      <c r="AB873" s="251"/>
      <c r="AC873" s="250"/>
      <c r="AD873" s="251"/>
      <c r="AE873" s="250"/>
      <c r="AF873" s="251"/>
      <c r="AG873" s="250"/>
      <c r="AH873" s="251"/>
      <c r="AI873" s="250"/>
    </row>
    <row r="874" spans="2:35">
      <c r="B874" s="364" t="s">
        <v>444</v>
      </c>
      <c r="C874" s="244"/>
      <c r="D874" s="237"/>
      <c r="E874" s="243">
        <f t="shared" si="64"/>
        <v>0</v>
      </c>
      <c r="F874" s="244"/>
      <c r="G874" s="243"/>
      <c r="H874" s="244"/>
      <c r="I874" s="243"/>
      <c r="J874" s="244"/>
      <c r="K874" s="243"/>
      <c r="L874" s="244"/>
      <c r="M874" s="243"/>
      <c r="N874" s="244"/>
      <c r="O874" s="243"/>
      <c r="P874" s="244"/>
      <c r="Q874" s="243"/>
      <c r="R874" s="244"/>
      <c r="S874" s="243"/>
      <c r="T874" s="244"/>
      <c r="U874" s="243"/>
      <c r="V874" s="341"/>
      <c r="W874" s="243"/>
      <c r="X874" s="244"/>
      <c r="Y874" s="243"/>
      <c r="Z874" s="244"/>
      <c r="AA874" s="243"/>
      <c r="AB874" s="244"/>
      <c r="AC874" s="243"/>
      <c r="AD874" s="244"/>
      <c r="AE874" s="243"/>
      <c r="AF874" s="244"/>
      <c r="AG874" s="243"/>
      <c r="AH874" s="244"/>
      <c r="AI874" s="243"/>
    </row>
    <row r="875" spans="2:35">
      <c r="B875" s="364" t="s">
        <v>445</v>
      </c>
      <c r="C875" s="244"/>
      <c r="D875" s="237"/>
      <c r="E875" s="243">
        <f t="shared" si="64"/>
        <v>0</v>
      </c>
      <c r="F875" s="244"/>
      <c r="G875" s="243"/>
      <c r="H875" s="244"/>
      <c r="I875" s="243"/>
      <c r="J875" s="244"/>
      <c r="K875" s="243"/>
      <c r="L875" s="244"/>
      <c r="M875" s="243"/>
      <c r="N875" s="244"/>
      <c r="O875" s="243"/>
      <c r="P875" s="244"/>
      <c r="Q875" s="243"/>
      <c r="R875" s="244"/>
      <c r="S875" s="243"/>
      <c r="T875" s="244"/>
      <c r="U875" s="243"/>
      <c r="V875" s="341"/>
      <c r="W875" s="243"/>
      <c r="X875" s="244"/>
      <c r="Y875" s="243"/>
      <c r="Z875" s="244"/>
      <c r="AA875" s="243"/>
      <c r="AB875" s="244"/>
      <c r="AC875" s="243"/>
      <c r="AD875" s="244"/>
      <c r="AE875" s="243"/>
      <c r="AF875" s="244"/>
      <c r="AG875" s="243"/>
      <c r="AH875" s="244"/>
      <c r="AI875" s="243"/>
    </row>
    <row r="876" spans="2:35">
      <c r="B876" s="364" t="s">
        <v>298</v>
      </c>
      <c r="C876" s="244"/>
      <c r="D876" s="237"/>
      <c r="E876" s="243">
        <f t="shared" si="64"/>
        <v>2600839</v>
      </c>
      <c r="F876" s="244"/>
      <c r="G876" s="243"/>
      <c r="H876" s="244"/>
      <c r="I876" s="243"/>
      <c r="J876" s="244"/>
      <c r="K876" s="243"/>
      <c r="L876" s="244"/>
      <c r="M876" s="243"/>
      <c r="N876" s="244"/>
      <c r="O876" s="243"/>
      <c r="P876" s="244"/>
      <c r="Q876" s="243">
        <v>1629271</v>
      </c>
      <c r="R876" s="244"/>
      <c r="S876" s="243"/>
      <c r="T876" s="244"/>
      <c r="U876" s="243"/>
      <c r="V876" s="341"/>
      <c r="W876" s="243"/>
      <c r="X876" s="244"/>
      <c r="Y876" s="243"/>
      <c r="Z876" s="244"/>
      <c r="AA876" s="243"/>
      <c r="AB876" s="244"/>
      <c r="AC876" s="243"/>
      <c r="AD876" s="244"/>
      <c r="AE876" s="243">
        <v>971568</v>
      </c>
      <c r="AF876" s="244"/>
      <c r="AG876" s="243"/>
      <c r="AH876" s="244"/>
      <c r="AI876" s="243"/>
    </row>
    <row r="877" spans="2:35">
      <c r="B877" s="364" t="s">
        <v>446</v>
      </c>
      <c r="C877" s="244"/>
      <c r="D877" s="237"/>
      <c r="E877" s="243">
        <f t="shared" si="64"/>
        <v>5494782</v>
      </c>
      <c r="F877" s="244"/>
      <c r="G877" s="243">
        <v>5494782</v>
      </c>
      <c r="H877" s="244"/>
      <c r="I877" s="243"/>
      <c r="J877" s="244"/>
      <c r="K877" s="243"/>
      <c r="L877" s="244"/>
      <c r="M877" s="243"/>
      <c r="N877" s="244"/>
      <c r="O877" s="243"/>
      <c r="P877" s="244"/>
      <c r="Q877" s="243"/>
      <c r="R877" s="244"/>
      <c r="S877" s="243"/>
      <c r="T877" s="244"/>
      <c r="U877" s="243"/>
      <c r="V877" s="341"/>
      <c r="W877" s="243"/>
      <c r="X877" s="244"/>
      <c r="Y877" s="243"/>
      <c r="Z877" s="244"/>
      <c r="AA877" s="243"/>
      <c r="AB877" s="244"/>
      <c r="AC877" s="243"/>
      <c r="AD877" s="244"/>
      <c r="AE877" s="243"/>
      <c r="AF877" s="244"/>
      <c r="AG877" s="243"/>
      <c r="AH877" s="244"/>
      <c r="AI877" s="243"/>
    </row>
    <row r="878" spans="2:35">
      <c r="B878" s="364" t="s">
        <v>447</v>
      </c>
      <c r="C878" s="244"/>
      <c r="D878" s="237"/>
      <c r="E878" s="243">
        <f t="shared" si="64"/>
        <v>4124788</v>
      </c>
      <c r="F878" s="244"/>
      <c r="G878" s="243">
        <v>4124788</v>
      </c>
      <c r="H878" s="244"/>
      <c r="I878" s="243"/>
      <c r="J878" s="244"/>
      <c r="K878" s="243"/>
      <c r="L878" s="244"/>
      <c r="M878" s="243"/>
      <c r="N878" s="244"/>
      <c r="O878" s="243"/>
      <c r="P878" s="244"/>
      <c r="Q878" s="243"/>
      <c r="R878" s="244"/>
      <c r="S878" s="243"/>
      <c r="T878" s="244"/>
      <c r="U878" s="243"/>
      <c r="V878" s="341"/>
      <c r="W878" s="243"/>
      <c r="X878" s="244"/>
      <c r="Y878" s="243"/>
      <c r="Z878" s="244"/>
      <c r="AA878" s="243"/>
      <c r="AB878" s="244"/>
      <c r="AC878" s="243"/>
      <c r="AD878" s="244"/>
      <c r="AE878" s="243"/>
      <c r="AF878" s="244"/>
      <c r="AG878" s="243"/>
      <c r="AH878" s="244"/>
      <c r="AI878" s="243"/>
    </row>
    <row r="879" spans="2:35">
      <c r="B879" s="364" t="s">
        <v>448</v>
      </c>
      <c r="C879" s="244"/>
      <c r="D879" s="237"/>
      <c r="E879" s="243">
        <f t="shared" si="64"/>
        <v>88370128</v>
      </c>
      <c r="F879" s="244"/>
      <c r="G879" s="243">
        <v>9094880</v>
      </c>
      <c r="H879" s="244"/>
      <c r="I879" s="243"/>
      <c r="J879" s="244"/>
      <c r="K879" s="243"/>
      <c r="L879" s="244"/>
      <c r="M879" s="243"/>
      <c r="N879" s="244"/>
      <c r="O879" s="243"/>
      <c r="P879" s="244"/>
      <c r="Q879" s="243"/>
      <c r="R879" s="244"/>
      <c r="S879" s="243"/>
      <c r="T879" s="244"/>
      <c r="U879" s="243"/>
      <c r="V879" s="341"/>
      <c r="W879" s="243">
        <v>1204823</v>
      </c>
      <c r="X879" s="244"/>
      <c r="Y879" s="243"/>
      <c r="Z879" s="244"/>
      <c r="AA879" s="243">
        <v>78070425</v>
      </c>
      <c r="AB879" s="244"/>
      <c r="AC879" s="243"/>
      <c r="AD879" s="244"/>
      <c r="AE879" s="243"/>
      <c r="AF879" s="244"/>
      <c r="AG879" s="243"/>
      <c r="AH879" s="244"/>
      <c r="AI879" s="243"/>
    </row>
    <row r="880" spans="2:35">
      <c r="B880" s="364" t="s">
        <v>449</v>
      </c>
      <c r="C880" s="244"/>
      <c r="D880" s="237"/>
      <c r="E880" s="243">
        <f t="shared" si="64"/>
        <v>11724437</v>
      </c>
      <c r="F880" s="244"/>
      <c r="G880" s="243">
        <v>11113648</v>
      </c>
      <c r="H880" s="244"/>
      <c r="I880" s="243"/>
      <c r="J880" s="244"/>
      <c r="K880" s="243"/>
      <c r="L880" s="244"/>
      <c r="M880" s="243"/>
      <c r="N880" s="244"/>
      <c r="O880" s="243"/>
      <c r="P880" s="244"/>
      <c r="Q880" s="243">
        <v>408548</v>
      </c>
      <c r="R880" s="244"/>
      <c r="S880" s="243"/>
      <c r="T880" s="244"/>
      <c r="U880" s="243"/>
      <c r="V880" s="341"/>
      <c r="W880" s="243"/>
      <c r="X880" s="244"/>
      <c r="Y880" s="243"/>
      <c r="Z880" s="244"/>
      <c r="AA880" s="243">
        <v>202241</v>
      </c>
      <c r="AB880" s="244"/>
      <c r="AC880" s="243"/>
      <c r="AD880" s="244"/>
      <c r="AE880" s="243"/>
      <c r="AF880" s="244"/>
      <c r="AG880" s="243"/>
      <c r="AH880" s="244"/>
      <c r="AI880" s="243"/>
    </row>
    <row r="881" spans="2:35">
      <c r="B881" s="364" t="s">
        <v>450</v>
      </c>
      <c r="C881" s="244"/>
      <c r="D881" s="237"/>
      <c r="E881" s="243">
        <f t="shared" si="64"/>
        <v>39130</v>
      </c>
      <c r="F881" s="244"/>
      <c r="G881" s="243"/>
      <c r="H881" s="244"/>
      <c r="I881" s="243"/>
      <c r="J881" s="244"/>
      <c r="K881" s="243"/>
      <c r="L881" s="244"/>
      <c r="M881" s="243"/>
      <c r="N881" s="244"/>
      <c r="O881" s="243"/>
      <c r="P881" s="244"/>
      <c r="Q881" s="243"/>
      <c r="R881" s="244"/>
      <c r="S881" s="243"/>
      <c r="T881" s="244"/>
      <c r="U881" s="243"/>
      <c r="V881" s="341"/>
      <c r="W881" s="243"/>
      <c r="X881" s="244"/>
      <c r="Y881" s="243"/>
      <c r="Z881" s="244"/>
      <c r="AA881" s="243">
        <v>39130</v>
      </c>
      <c r="AB881" s="244"/>
      <c r="AC881" s="243"/>
      <c r="AD881" s="244"/>
      <c r="AE881" s="243"/>
      <c r="AF881" s="244"/>
      <c r="AG881" s="243"/>
      <c r="AH881" s="244"/>
      <c r="AI881" s="243"/>
    </row>
    <row r="882" spans="2:35">
      <c r="B882" s="364" t="s">
        <v>451</v>
      </c>
      <c r="C882" s="244"/>
      <c r="D882" s="237"/>
      <c r="E882" s="243">
        <f t="shared" si="64"/>
        <v>675434450</v>
      </c>
      <c r="F882" s="244"/>
      <c r="G882" s="243"/>
      <c r="H882" s="244"/>
      <c r="I882" s="243"/>
      <c r="J882" s="244"/>
      <c r="K882" s="243"/>
      <c r="L882" s="244"/>
      <c r="M882" s="243"/>
      <c r="N882" s="244"/>
      <c r="O882" s="243"/>
      <c r="P882" s="244"/>
      <c r="Q882" s="243"/>
      <c r="R882" s="244"/>
      <c r="S882" s="243"/>
      <c r="T882" s="244"/>
      <c r="U882" s="243">
        <v>675434450</v>
      </c>
      <c r="V882" s="341"/>
      <c r="W882" s="243"/>
      <c r="X882" s="244"/>
      <c r="Y882" s="243"/>
      <c r="Z882" s="244"/>
      <c r="AA882" s="243"/>
      <c r="AB882" s="244"/>
      <c r="AC882" s="243"/>
      <c r="AD882" s="244"/>
      <c r="AE882" s="243"/>
      <c r="AF882" s="244"/>
      <c r="AG882" s="243"/>
      <c r="AH882" s="244"/>
      <c r="AI882" s="243"/>
    </row>
    <row r="883" spans="2:35">
      <c r="B883" s="364" t="s">
        <v>452</v>
      </c>
      <c r="C883" s="244"/>
      <c r="D883" s="237"/>
      <c r="E883" s="243">
        <f t="shared" si="64"/>
        <v>4087387</v>
      </c>
      <c r="F883" s="244"/>
      <c r="G883" s="243"/>
      <c r="H883" s="244"/>
      <c r="I883" s="243"/>
      <c r="J883" s="244"/>
      <c r="K883" s="243"/>
      <c r="L883" s="244"/>
      <c r="M883" s="243"/>
      <c r="N883" s="244"/>
      <c r="O883" s="243"/>
      <c r="P883" s="244"/>
      <c r="Q883" s="243"/>
      <c r="R883" s="244"/>
      <c r="S883" s="243"/>
      <c r="T883" s="244"/>
      <c r="U883" s="243"/>
      <c r="V883" s="341"/>
      <c r="W883" s="243"/>
      <c r="X883" s="244"/>
      <c r="Y883" s="243"/>
      <c r="Z883" s="244"/>
      <c r="AA883" s="243">
        <v>4087387</v>
      </c>
      <c r="AB883" s="244"/>
      <c r="AC883" s="243"/>
      <c r="AD883" s="244"/>
      <c r="AE883" s="243"/>
      <c r="AF883" s="244"/>
      <c r="AG883" s="243"/>
      <c r="AH883" s="244"/>
      <c r="AI883" s="243"/>
    </row>
    <row r="884" spans="2:35">
      <c r="B884" s="364" t="s">
        <v>453</v>
      </c>
      <c r="C884" s="244"/>
      <c r="D884" s="237"/>
      <c r="E884" s="243">
        <f t="shared" si="64"/>
        <v>0</v>
      </c>
      <c r="F884" s="244"/>
      <c r="G884" s="243"/>
      <c r="H884" s="244"/>
      <c r="I884" s="243"/>
      <c r="J884" s="244"/>
      <c r="K884" s="243"/>
      <c r="L884" s="244"/>
      <c r="M884" s="243"/>
      <c r="N884" s="244"/>
      <c r="O884" s="243"/>
      <c r="P884" s="244"/>
      <c r="Q884" s="243"/>
      <c r="R884" s="244"/>
      <c r="S884" s="243"/>
      <c r="T884" s="244"/>
      <c r="U884" s="243"/>
      <c r="V884" s="341"/>
      <c r="W884" s="243"/>
      <c r="X884" s="244"/>
      <c r="Y884" s="243"/>
      <c r="Z884" s="244"/>
      <c r="AA884" s="243"/>
      <c r="AB884" s="244"/>
      <c r="AC884" s="243"/>
      <c r="AD884" s="244"/>
      <c r="AE884" s="243"/>
      <c r="AF884" s="244"/>
      <c r="AG884" s="243"/>
      <c r="AH884" s="244"/>
      <c r="AI884" s="243"/>
    </row>
    <row r="885" spans="2:35">
      <c r="B885" s="364" t="s">
        <v>454</v>
      </c>
      <c r="C885" s="244"/>
      <c r="D885" s="237"/>
      <c r="E885" s="243">
        <f t="shared" si="64"/>
        <v>25591982</v>
      </c>
      <c r="F885" s="244"/>
      <c r="G885" s="243">
        <v>841030</v>
      </c>
      <c r="H885" s="244"/>
      <c r="I885" s="243"/>
      <c r="J885" s="244"/>
      <c r="K885" s="243"/>
      <c r="L885" s="244"/>
      <c r="M885" s="243"/>
      <c r="N885" s="244"/>
      <c r="O885" s="243"/>
      <c r="P885" s="244"/>
      <c r="Q885" s="243">
        <v>46845</v>
      </c>
      <c r="R885" s="244"/>
      <c r="S885" s="243"/>
      <c r="T885" s="244"/>
      <c r="U885" s="243"/>
      <c r="V885" s="341"/>
      <c r="W885" s="243"/>
      <c r="X885" s="244"/>
      <c r="Y885" s="243"/>
      <c r="Z885" s="244"/>
      <c r="AA885" s="243">
        <v>24704107</v>
      </c>
      <c r="AB885" s="244"/>
      <c r="AC885" s="243"/>
      <c r="AD885" s="244"/>
      <c r="AE885" s="243"/>
      <c r="AF885" s="244"/>
      <c r="AG885" s="243"/>
      <c r="AH885" s="244"/>
      <c r="AI885" s="243"/>
    </row>
    <row r="886" spans="2:35">
      <c r="B886" s="364"/>
      <c r="C886" s="244"/>
      <c r="D886" s="237"/>
      <c r="E886" s="243"/>
      <c r="F886" s="244"/>
      <c r="G886" s="243"/>
      <c r="H886" s="244"/>
      <c r="I886" s="243"/>
      <c r="J886" s="244"/>
      <c r="K886" s="243"/>
      <c r="L886" s="244"/>
      <c r="M886" s="243"/>
      <c r="N886" s="244"/>
      <c r="O886" s="243"/>
      <c r="P886" s="244"/>
      <c r="Q886" s="243"/>
      <c r="R886" s="244"/>
      <c r="S886" s="243"/>
      <c r="T886" s="244"/>
      <c r="U886" s="243"/>
      <c r="V886" s="341"/>
      <c r="W886" s="243"/>
      <c r="X886" s="244"/>
      <c r="Y886" s="243"/>
      <c r="Z886" s="244"/>
      <c r="AA886" s="243"/>
      <c r="AB886" s="244"/>
      <c r="AC886" s="243"/>
      <c r="AD886" s="244"/>
      <c r="AE886" s="243"/>
      <c r="AF886" s="244"/>
      <c r="AG886" s="243"/>
      <c r="AH886" s="244"/>
      <c r="AI886" s="243"/>
    </row>
    <row r="887" spans="2:35" ht="12" thickBot="1">
      <c r="B887" s="667" t="s">
        <v>860</v>
      </c>
      <c r="C887" s="244"/>
      <c r="D887" s="237"/>
      <c r="E887" s="246">
        <f>SUM(E873:E886)</f>
        <v>817467923</v>
      </c>
      <c r="F887" s="244"/>
      <c r="G887" s="246">
        <f>SUM(G873:G886)</f>
        <v>30669128</v>
      </c>
      <c r="H887" s="244"/>
      <c r="I887" s="246">
        <f>SUM(I873:I886)</f>
        <v>0</v>
      </c>
      <c r="J887" s="244"/>
      <c r="K887" s="246">
        <f>SUM(K873:K886)</f>
        <v>0</v>
      </c>
      <c r="L887" s="244"/>
      <c r="M887" s="246">
        <f>SUM(M873:M886)</f>
        <v>0</v>
      </c>
      <c r="N887" s="244"/>
      <c r="O887" s="246">
        <f>SUM(O873:O886)</f>
        <v>0</v>
      </c>
      <c r="P887" s="244"/>
      <c r="Q887" s="246">
        <f>SUM(Q873:Q886)</f>
        <v>2084664</v>
      </c>
      <c r="R887" s="244"/>
      <c r="S887" s="246">
        <f>SUM(S873:S886)</f>
        <v>0</v>
      </c>
      <c r="T887" s="244"/>
      <c r="U887" s="246">
        <f>SUM(U873:U886)</f>
        <v>675434450</v>
      </c>
      <c r="V887" s="341"/>
      <c r="W887" s="246">
        <f>SUM(W873:W886)</f>
        <v>1204823</v>
      </c>
      <c r="X887" s="244"/>
      <c r="Y887" s="246">
        <f>SUM(Y873:Y886)</f>
        <v>0</v>
      </c>
      <c r="Z887" s="244"/>
      <c r="AA887" s="246">
        <f>SUM(AA873:AA886)</f>
        <v>107103290</v>
      </c>
      <c r="AB887" s="244"/>
      <c r="AC887" s="246">
        <f>SUM(AC873:AC886)</f>
        <v>0</v>
      </c>
      <c r="AD887" s="244"/>
      <c r="AE887" s="246">
        <f>SUM(AE873:AE886)</f>
        <v>971568</v>
      </c>
      <c r="AF887" s="244"/>
      <c r="AG887" s="246">
        <f>SUM(AG873:AG886)</f>
        <v>0</v>
      </c>
      <c r="AH887" s="244"/>
      <c r="AI887" s="246">
        <f>SUM(AI873:AI886)</f>
        <v>0</v>
      </c>
    </row>
    <row r="888" spans="2:35" ht="12.75" thickTop="1" thickBot="1">
      <c r="B888" s="245"/>
      <c r="C888" s="248"/>
      <c r="D888" s="245"/>
      <c r="E888" s="247"/>
      <c r="F888" s="248"/>
      <c r="G888" s="247"/>
      <c r="H888" s="248"/>
      <c r="I888" s="247"/>
      <c r="J888" s="248"/>
      <c r="K888" s="247"/>
      <c r="L888" s="248"/>
      <c r="M888" s="247"/>
      <c r="N888" s="248"/>
      <c r="O888" s="247"/>
      <c r="P888" s="248"/>
      <c r="Q888" s="247"/>
      <c r="R888" s="248"/>
      <c r="S888" s="247"/>
      <c r="T888" s="248"/>
      <c r="U888" s="247"/>
      <c r="V888" s="384"/>
      <c r="W888" s="247"/>
      <c r="X888" s="248"/>
      <c r="Y888" s="247"/>
      <c r="Z888" s="248"/>
      <c r="AA888" s="247"/>
      <c r="AB888" s="248"/>
      <c r="AC888" s="247"/>
      <c r="AD888" s="248"/>
      <c r="AE888" s="247"/>
      <c r="AF888" s="248"/>
      <c r="AG888" s="247"/>
      <c r="AH888" s="248"/>
      <c r="AI888" s="247"/>
    </row>
    <row r="890" spans="2:35">
      <c r="B890" s="419" t="s">
        <v>1029</v>
      </c>
    </row>
    <row r="891" spans="2:35" ht="12" thickBot="1">
      <c r="G891" s="335" t="s">
        <v>247</v>
      </c>
    </row>
    <row r="892" spans="2:35" ht="12" thickBot="1">
      <c r="B892" s="365" t="s">
        <v>455</v>
      </c>
      <c r="C892" s="274"/>
      <c r="D892" s="1463" t="s">
        <v>860</v>
      </c>
      <c r="E892" s="1464"/>
      <c r="F892" s="1463" t="s">
        <v>17</v>
      </c>
      <c r="G892" s="1464"/>
      <c r="H892" s="1463" t="s">
        <v>18</v>
      </c>
      <c r="I892" s="1464"/>
      <c r="J892" s="1463" t="s">
        <v>19</v>
      </c>
      <c r="K892" s="1464"/>
      <c r="L892" s="1463" t="s">
        <v>20</v>
      </c>
      <c r="M892" s="1464"/>
      <c r="N892" s="1463" t="s">
        <v>21</v>
      </c>
      <c r="O892" s="1464"/>
      <c r="P892" s="1463" t="s">
        <v>22</v>
      </c>
      <c r="Q892" s="1464"/>
      <c r="R892" s="1463" t="s">
        <v>23</v>
      </c>
      <c r="S892" s="1464"/>
      <c r="T892" s="1463" t="s">
        <v>24</v>
      </c>
      <c r="U892" s="1464"/>
      <c r="V892" s="1463" t="s">
        <v>25</v>
      </c>
      <c r="W892" s="1464"/>
      <c r="X892" s="1463" t="s">
        <v>26</v>
      </c>
      <c r="Y892" s="1464"/>
      <c r="Z892" s="1463" t="s">
        <v>27</v>
      </c>
      <c r="AA892" s="1464"/>
      <c r="AB892" s="1463"/>
      <c r="AC892" s="1464"/>
      <c r="AD892" s="1463" t="s">
        <v>1266</v>
      </c>
      <c r="AE892" s="1464"/>
      <c r="AF892" s="1463" t="s">
        <v>30</v>
      </c>
      <c r="AG892" s="1464"/>
      <c r="AH892" s="1463" t="s">
        <v>31</v>
      </c>
      <c r="AI892" s="1464"/>
    </row>
    <row r="893" spans="2:35">
      <c r="B893" s="351" t="s">
        <v>456</v>
      </c>
      <c r="C893" s="251"/>
      <c r="D893" s="249"/>
      <c r="E893" s="250">
        <f>G893+I893+K893+M893+O893+Q893+S893+U893+W893+Y893+AA893+AC893+AE893+AG893+AI893</f>
        <v>22937861448</v>
      </c>
      <c r="F893" s="251"/>
      <c r="G893" s="250"/>
      <c r="H893" s="251"/>
      <c r="I893" s="250"/>
      <c r="J893" s="251"/>
      <c r="K893" s="250">
        <v>817764405</v>
      </c>
      <c r="L893" s="251"/>
      <c r="M893" s="250"/>
      <c r="N893" s="251"/>
      <c r="O893" s="250"/>
      <c r="P893" s="251"/>
      <c r="Q893" s="250"/>
      <c r="R893" s="251"/>
      <c r="S893" s="250"/>
      <c r="T893" s="251"/>
      <c r="U893" s="250">
        <v>6632511330</v>
      </c>
      <c r="V893" s="427"/>
      <c r="W893" s="250"/>
      <c r="X893" s="251"/>
      <c r="Y893" s="250"/>
      <c r="Z893" s="251"/>
      <c r="AA893" s="250">
        <v>15487585713</v>
      </c>
      <c r="AB893" s="251"/>
      <c r="AC893" s="250"/>
      <c r="AD893" s="251"/>
      <c r="AE893" s="250"/>
      <c r="AF893" s="251"/>
      <c r="AG893" s="250"/>
      <c r="AH893" s="251"/>
      <c r="AI893" s="250"/>
    </row>
    <row r="894" spans="2:35" ht="21">
      <c r="B894" s="327" t="s">
        <v>457</v>
      </c>
      <c r="C894" s="244"/>
      <c r="D894" s="237"/>
      <c r="E894" s="243">
        <f>G894+I894+K894+M894+O894+Q894+S894+U894+W894+Y894+AA894+AC894+AE894+AG894+AI894</f>
        <v>0</v>
      </c>
      <c r="F894" s="244"/>
      <c r="G894" s="243"/>
      <c r="H894" s="244"/>
      <c r="I894" s="243"/>
      <c r="J894" s="244"/>
      <c r="K894" s="243"/>
      <c r="L894" s="244"/>
      <c r="M894" s="243"/>
      <c r="N894" s="244"/>
      <c r="O894" s="243"/>
      <c r="P894" s="244"/>
      <c r="Q894" s="243"/>
      <c r="R894" s="244"/>
      <c r="S894" s="243"/>
      <c r="T894" s="244"/>
      <c r="U894" s="243"/>
      <c r="V894" s="341"/>
      <c r="W894" s="243"/>
      <c r="X894" s="244"/>
      <c r="Y894" s="243"/>
      <c r="Z894" s="244"/>
      <c r="AA894" s="243"/>
      <c r="AB894" s="244"/>
      <c r="AC894" s="243"/>
      <c r="AD894" s="244"/>
      <c r="AE894" s="243"/>
      <c r="AF894" s="244"/>
      <c r="AG894" s="243"/>
      <c r="AH894" s="244"/>
      <c r="AI894" s="243"/>
    </row>
    <row r="895" spans="2:35">
      <c r="B895" s="327" t="s">
        <v>458</v>
      </c>
      <c r="C895" s="244"/>
      <c r="D895" s="237"/>
      <c r="E895" s="243">
        <f>G895+I895+K895+M895+O895+Q895+S895+U895+W895+Y895+AA895+AC895+AE895+AG895+AI895</f>
        <v>0</v>
      </c>
      <c r="F895" s="244"/>
      <c r="G895" s="243"/>
      <c r="H895" s="244"/>
      <c r="I895" s="243"/>
      <c r="J895" s="244"/>
      <c r="K895" s="243"/>
      <c r="L895" s="244"/>
      <c r="M895" s="243"/>
      <c r="N895" s="244"/>
      <c r="O895" s="243"/>
      <c r="P895" s="244"/>
      <c r="Q895" s="243"/>
      <c r="R895" s="244"/>
      <c r="S895" s="243"/>
      <c r="T895" s="244"/>
      <c r="U895" s="243"/>
      <c r="V895" s="341"/>
      <c r="W895" s="243"/>
      <c r="X895" s="244"/>
      <c r="Y895" s="243"/>
      <c r="Z895" s="244"/>
      <c r="AA895" s="243"/>
      <c r="AB895" s="244"/>
      <c r="AC895" s="243"/>
      <c r="AD895" s="244"/>
      <c r="AE895" s="243"/>
      <c r="AF895" s="244"/>
      <c r="AG895" s="243"/>
      <c r="AH895" s="244"/>
      <c r="AI895" s="243"/>
    </row>
    <row r="896" spans="2:35">
      <c r="B896" s="327" t="s">
        <v>448</v>
      </c>
      <c r="C896" s="244"/>
      <c r="D896" s="237"/>
      <c r="E896" s="243">
        <f>G896+I896+K896+M896+O896+Q896+S896+U896+W896+Y896+AA896+AC896+AE896+AG896+AI896</f>
        <v>32696765</v>
      </c>
      <c r="F896" s="244"/>
      <c r="G896" s="243">
        <v>29776718</v>
      </c>
      <c r="H896" s="244"/>
      <c r="I896" s="243"/>
      <c r="J896" s="244"/>
      <c r="K896" s="243"/>
      <c r="L896" s="244"/>
      <c r="M896" s="243"/>
      <c r="N896" s="244"/>
      <c r="O896" s="243"/>
      <c r="P896" s="244"/>
      <c r="Q896" s="243">
        <v>91926</v>
      </c>
      <c r="R896" s="244"/>
      <c r="S896" s="243"/>
      <c r="T896" s="244"/>
      <c r="U896" s="243"/>
      <c r="V896" s="341"/>
      <c r="W896" s="243"/>
      <c r="X896" s="244"/>
      <c r="Y896" s="243"/>
      <c r="Z896" s="244"/>
      <c r="AA896" s="243">
        <v>2828121</v>
      </c>
      <c r="AB896" s="244"/>
      <c r="AC896" s="243"/>
      <c r="AD896" s="244"/>
      <c r="AE896" s="243"/>
      <c r="AF896" s="244"/>
      <c r="AG896" s="243"/>
      <c r="AH896" s="244"/>
      <c r="AI896" s="243"/>
    </row>
    <row r="897" spans="2:35">
      <c r="B897" s="327" t="s">
        <v>459</v>
      </c>
      <c r="C897" s="244"/>
      <c r="D897" s="237"/>
      <c r="E897" s="243">
        <f>G897+I897+K897+M897+O897+Q897+S897+U897+W897+Y897+AA897+AC897+AE897+AG897+AI897</f>
        <v>26291540</v>
      </c>
      <c r="F897" s="244"/>
      <c r="G897" s="243">
        <v>26291540</v>
      </c>
      <c r="H897" s="244"/>
      <c r="I897" s="243"/>
      <c r="J897" s="244"/>
      <c r="K897" s="243"/>
      <c r="L897" s="244"/>
      <c r="M897" s="243"/>
      <c r="N897" s="244"/>
      <c r="O897" s="243"/>
      <c r="P897" s="244"/>
      <c r="Q897" s="243"/>
      <c r="R897" s="244"/>
      <c r="S897" s="243"/>
      <c r="T897" s="244"/>
      <c r="U897" s="243"/>
      <c r="V897" s="341"/>
      <c r="W897" s="243"/>
      <c r="X897" s="244"/>
      <c r="Y897" s="243"/>
      <c r="Z897" s="244"/>
      <c r="AA897" s="243"/>
      <c r="AB897" s="244"/>
      <c r="AC897" s="243"/>
      <c r="AD897" s="244"/>
      <c r="AE897" s="243"/>
      <c r="AF897" s="244"/>
      <c r="AG897" s="243"/>
      <c r="AH897" s="244"/>
      <c r="AI897" s="243"/>
    </row>
    <row r="898" spans="2:35">
      <c r="B898" s="327"/>
      <c r="C898" s="244"/>
      <c r="D898" s="237"/>
      <c r="E898" s="243"/>
      <c r="F898" s="244"/>
      <c r="G898" s="243"/>
      <c r="H898" s="244"/>
      <c r="I898" s="243"/>
      <c r="J898" s="244"/>
      <c r="K898" s="243"/>
      <c r="L898" s="244"/>
      <c r="M898" s="243"/>
      <c r="N898" s="244"/>
      <c r="O898" s="243"/>
      <c r="P898" s="244"/>
      <c r="Q898" s="243"/>
      <c r="R898" s="244"/>
      <c r="S898" s="243"/>
      <c r="T898" s="244"/>
      <c r="U898" s="243"/>
      <c r="V898" s="341"/>
      <c r="W898" s="243"/>
      <c r="X898" s="244"/>
      <c r="Y898" s="243"/>
      <c r="Z898" s="244"/>
      <c r="AA898" s="243"/>
      <c r="AB898" s="244"/>
      <c r="AC898" s="243"/>
      <c r="AD898" s="244"/>
      <c r="AE898" s="243"/>
      <c r="AF898" s="244"/>
      <c r="AG898" s="243"/>
      <c r="AH898" s="244"/>
      <c r="AI898" s="243"/>
    </row>
    <row r="899" spans="2:35" ht="12" thickBot="1">
      <c r="B899" s="359" t="s">
        <v>860</v>
      </c>
      <c r="C899" s="244"/>
      <c r="D899" s="237"/>
      <c r="E899" s="246">
        <f>SUM(E893:E898)</f>
        <v>22996849753</v>
      </c>
      <c r="F899" s="244"/>
      <c r="G899" s="246">
        <f>SUM(G893:G898)</f>
        <v>56068258</v>
      </c>
      <c r="H899" s="244"/>
      <c r="I899" s="246">
        <f>SUM(I893:I898)</f>
        <v>0</v>
      </c>
      <c r="J899" s="244"/>
      <c r="K899" s="246">
        <f>SUM(K893:K898)</f>
        <v>817764405</v>
      </c>
      <c r="L899" s="244"/>
      <c r="M899" s="246">
        <f>SUM(M893:M898)</f>
        <v>0</v>
      </c>
      <c r="N899" s="244"/>
      <c r="O899" s="246">
        <f>SUM(O893:O898)</f>
        <v>0</v>
      </c>
      <c r="P899" s="244"/>
      <c r="Q899" s="246">
        <f>SUM(Q893:Q898)</f>
        <v>91926</v>
      </c>
      <c r="R899" s="244"/>
      <c r="S899" s="246">
        <f>SUM(S893:S898)</f>
        <v>0</v>
      </c>
      <c r="T899" s="244"/>
      <c r="U899" s="246">
        <f>SUM(U893:U898)</f>
        <v>6632511330</v>
      </c>
      <c r="V899" s="341"/>
      <c r="W899" s="246">
        <f>SUM(W893:W898)</f>
        <v>0</v>
      </c>
      <c r="X899" s="244"/>
      <c r="Y899" s="246">
        <f>SUM(Y893:Y898)</f>
        <v>0</v>
      </c>
      <c r="Z899" s="244"/>
      <c r="AA899" s="246">
        <f>SUM(AA893:AA898)</f>
        <v>15490413834</v>
      </c>
      <c r="AB899" s="244"/>
      <c r="AC899" s="246">
        <f>SUM(AC893:AC898)</f>
        <v>0</v>
      </c>
      <c r="AD899" s="244"/>
      <c r="AE899" s="246">
        <f>SUM(AE893:AE898)</f>
        <v>0</v>
      </c>
      <c r="AF899" s="244"/>
      <c r="AG899" s="246">
        <f>SUM(AG893:AG898)</f>
        <v>0</v>
      </c>
      <c r="AH899" s="244"/>
      <c r="AI899" s="246">
        <f>SUM(AI893:AI898)</f>
        <v>0</v>
      </c>
    </row>
    <row r="900" spans="2:35" ht="12.75" thickTop="1" thickBot="1">
      <c r="B900" s="245"/>
      <c r="C900" s="248"/>
      <c r="D900" s="245"/>
      <c r="E900" s="247"/>
      <c r="F900" s="248"/>
      <c r="G900" s="247"/>
      <c r="H900" s="248"/>
      <c r="I900" s="247"/>
      <c r="J900" s="248"/>
      <c r="K900" s="247"/>
      <c r="L900" s="248"/>
      <c r="M900" s="247"/>
      <c r="N900" s="248"/>
      <c r="O900" s="247"/>
      <c r="P900" s="248"/>
      <c r="Q900" s="247"/>
      <c r="R900" s="248"/>
      <c r="S900" s="247"/>
      <c r="T900" s="248"/>
      <c r="U900" s="247"/>
      <c r="V900" s="384"/>
      <c r="W900" s="247"/>
      <c r="X900" s="248"/>
      <c r="Y900" s="247"/>
      <c r="Z900" s="248"/>
      <c r="AA900" s="247"/>
      <c r="AB900" s="248"/>
      <c r="AC900" s="247"/>
      <c r="AD900" s="248"/>
      <c r="AE900" s="247"/>
      <c r="AF900" s="248"/>
      <c r="AG900" s="247"/>
      <c r="AH900" s="248"/>
      <c r="AI900" s="247"/>
    </row>
    <row r="902" spans="2:35">
      <c r="B902" s="1469" t="s">
        <v>1030</v>
      </c>
      <c r="C902" s="1469"/>
      <c r="D902" s="1469"/>
      <c r="E902" s="1469"/>
      <c r="F902" s="1469"/>
      <c r="G902" s="1469"/>
    </row>
    <row r="903" spans="2:35" ht="12" thickBot="1">
      <c r="G903" s="335" t="s">
        <v>247</v>
      </c>
    </row>
    <row r="904" spans="2:35" ht="12" thickBot="1">
      <c r="B904" s="376" t="s">
        <v>455</v>
      </c>
      <c r="C904" s="250"/>
      <c r="D904" s="1463" t="s">
        <v>860</v>
      </c>
      <c r="E904" s="1464"/>
      <c r="F904" s="1463" t="s">
        <v>17</v>
      </c>
      <c r="G904" s="1464"/>
      <c r="H904" s="1463" t="s">
        <v>18</v>
      </c>
      <c r="I904" s="1464"/>
      <c r="J904" s="1463" t="s">
        <v>19</v>
      </c>
      <c r="K904" s="1464"/>
      <c r="L904" s="1463" t="s">
        <v>20</v>
      </c>
      <c r="M904" s="1464"/>
      <c r="N904" s="1463" t="s">
        <v>21</v>
      </c>
      <c r="O904" s="1464"/>
      <c r="P904" s="1463" t="s">
        <v>22</v>
      </c>
      <c r="Q904" s="1464"/>
      <c r="R904" s="1463" t="s">
        <v>23</v>
      </c>
      <c r="S904" s="1464"/>
      <c r="T904" s="1463" t="s">
        <v>24</v>
      </c>
      <c r="U904" s="1464"/>
      <c r="V904" s="1463" t="s">
        <v>25</v>
      </c>
      <c r="W904" s="1464"/>
      <c r="X904" s="1463" t="s">
        <v>26</v>
      </c>
      <c r="Y904" s="1464"/>
      <c r="Z904" s="1463" t="s">
        <v>27</v>
      </c>
      <c r="AA904" s="1464"/>
      <c r="AB904" s="1463"/>
      <c r="AC904" s="1464"/>
      <c r="AD904" s="1463" t="s">
        <v>1266</v>
      </c>
      <c r="AE904" s="1464"/>
      <c r="AF904" s="1463" t="s">
        <v>30</v>
      </c>
      <c r="AG904" s="1464"/>
      <c r="AH904" s="1463" t="s">
        <v>31</v>
      </c>
      <c r="AI904" s="1464"/>
    </row>
    <row r="905" spans="2:35" ht="42.75" thickBot="1">
      <c r="B905" s="339"/>
      <c r="C905" s="333"/>
      <c r="D905" s="336" t="s">
        <v>438</v>
      </c>
      <c r="E905" s="320" t="s">
        <v>462</v>
      </c>
      <c r="F905" s="336" t="s">
        <v>438</v>
      </c>
      <c r="G905" s="320" t="s">
        <v>462</v>
      </c>
      <c r="H905" s="336" t="s">
        <v>438</v>
      </c>
      <c r="I905" s="320" t="s">
        <v>462</v>
      </c>
      <c r="J905" s="336" t="s">
        <v>438</v>
      </c>
      <c r="K905" s="320" t="s">
        <v>462</v>
      </c>
      <c r="L905" s="336" t="s">
        <v>438</v>
      </c>
      <c r="M905" s="320" t="s">
        <v>462</v>
      </c>
      <c r="N905" s="336" t="s">
        <v>438</v>
      </c>
      <c r="O905" s="320" t="s">
        <v>462</v>
      </c>
      <c r="P905" s="336" t="s">
        <v>438</v>
      </c>
      <c r="Q905" s="320" t="s">
        <v>462</v>
      </c>
      <c r="R905" s="336" t="s">
        <v>438</v>
      </c>
      <c r="S905" s="320" t="s">
        <v>462</v>
      </c>
      <c r="T905" s="336" t="s">
        <v>438</v>
      </c>
      <c r="U905" s="320" t="s">
        <v>462</v>
      </c>
      <c r="V905" s="323" t="s">
        <v>438</v>
      </c>
      <c r="W905" s="320" t="s">
        <v>462</v>
      </c>
      <c r="X905" s="336" t="s">
        <v>438</v>
      </c>
      <c r="Y905" s="320" t="s">
        <v>462</v>
      </c>
      <c r="Z905" s="336" t="s">
        <v>438</v>
      </c>
      <c r="AA905" s="320" t="s">
        <v>462</v>
      </c>
      <c r="AB905" s="336" t="s">
        <v>438</v>
      </c>
      <c r="AC905" s="320" t="s">
        <v>462</v>
      </c>
      <c r="AD905" s="336" t="s">
        <v>438</v>
      </c>
      <c r="AE905" s="320" t="s">
        <v>462</v>
      </c>
      <c r="AF905" s="336" t="s">
        <v>438</v>
      </c>
      <c r="AG905" s="320" t="s">
        <v>462</v>
      </c>
      <c r="AH905" s="336" t="s">
        <v>438</v>
      </c>
      <c r="AI905" s="320" t="s">
        <v>462</v>
      </c>
    </row>
    <row r="906" spans="2:35">
      <c r="B906" s="359" t="s">
        <v>463</v>
      </c>
      <c r="C906" s="244"/>
      <c r="D906" s="240"/>
      <c r="E906" s="250"/>
      <c r="F906" s="241"/>
      <c r="G906" s="243"/>
      <c r="H906" s="241"/>
      <c r="I906" s="243"/>
      <c r="J906" s="241"/>
      <c r="K906" s="243"/>
      <c r="L906" s="241"/>
      <c r="M906" s="243"/>
      <c r="N906" s="241"/>
      <c r="O906" s="243"/>
      <c r="P906" s="241"/>
      <c r="Q906" s="243"/>
      <c r="R906" s="241"/>
      <c r="S906" s="243"/>
      <c r="T906" s="241"/>
      <c r="U906" s="243"/>
      <c r="V906" s="325"/>
      <c r="W906" s="243"/>
      <c r="X906" s="241"/>
      <c r="Y906" s="243"/>
      <c r="Z906" s="241"/>
      <c r="AA906" s="243"/>
      <c r="AB906" s="241"/>
      <c r="AC906" s="243"/>
      <c r="AD906" s="241"/>
      <c r="AE906" s="243"/>
      <c r="AF906" s="241"/>
      <c r="AG906" s="243"/>
      <c r="AH906" s="241"/>
      <c r="AI906" s="243"/>
    </row>
    <row r="907" spans="2:35">
      <c r="B907" s="382" t="s">
        <v>466</v>
      </c>
      <c r="C907" s="244"/>
      <c r="D907" s="241">
        <f>F907+H907+J907+L907+N907+P907+R907+T907+V907+X907+Z907+AB907+AD907+AF907+AH907</f>
        <v>1222048456</v>
      </c>
      <c r="E907" s="243"/>
      <c r="F907" s="241"/>
      <c r="G907" s="243"/>
      <c r="H907" s="241"/>
      <c r="I907" s="243"/>
      <c r="J907" s="241"/>
      <c r="K907" s="243"/>
      <c r="L907" s="241"/>
      <c r="M907" s="243"/>
      <c r="N907" s="241"/>
      <c r="O907" s="243"/>
      <c r="P907" s="241"/>
      <c r="Q907" s="243"/>
      <c r="R907" s="241"/>
      <c r="S907" s="243"/>
      <c r="T907" s="241"/>
      <c r="U907" s="243"/>
      <c r="V907" s="325"/>
      <c r="W907" s="243"/>
      <c r="X907" s="241"/>
      <c r="Y907" s="243"/>
      <c r="Z907" s="241"/>
      <c r="AA907" s="243"/>
      <c r="AB907" s="241"/>
      <c r="AC907" s="243"/>
      <c r="AD907" s="243">
        <v>1222048456</v>
      </c>
      <c r="AE907" s="243"/>
      <c r="AF907" s="241"/>
      <c r="AG907" s="243"/>
      <c r="AH907" s="241"/>
      <c r="AI907" s="243"/>
    </row>
    <row r="908" spans="2:35">
      <c r="B908" s="382" t="s">
        <v>467</v>
      </c>
      <c r="C908" s="244"/>
      <c r="D908" s="489">
        <f>F908+H908+J908+L908+N908+P908+R908+T908+V908+X908+Z908+AB908+AD908+AF908+AH908</f>
        <v>100</v>
      </c>
      <c r="E908" s="243"/>
      <c r="F908" s="241"/>
      <c r="G908" s="243"/>
      <c r="H908" s="241"/>
      <c r="I908" s="243"/>
      <c r="J908" s="241"/>
      <c r="K908" s="243"/>
      <c r="L908" s="241"/>
      <c r="M908" s="243"/>
      <c r="N908" s="241"/>
      <c r="O908" s="243"/>
      <c r="P908" s="241"/>
      <c r="Q908" s="243"/>
      <c r="R908" s="241"/>
      <c r="S908" s="243"/>
      <c r="T908" s="241"/>
      <c r="U908" s="243"/>
      <c r="V908" s="325"/>
      <c r="W908" s="243"/>
      <c r="X908" s="241"/>
      <c r="Y908" s="243"/>
      <c r="Z908" s="241"/>
      <c r="AA908" s="243"/>
      <c r="AB908" s="241"/>
      <c r="AC908" s="243"/>
      <c r="AD908" s="243">
        <v>100</v>
      </c>
      <c r="AE908" s="243"/>
      <c r="AF908" s="241"/>
      <c r="AG908" s="243"/>
      <c r="AH908" s="241"/>
      <c r="AI908" s="243"/>
    </row>
    <row r="909" spans="2:35">
      <c r="B909" s="359" t="s">
        <v>464</v>
      </c>
      <c r="C909" s="244"/>
      <c r="D909" s="241"/>
      <c r="E909" s="243"/>
      <c r="F909" s="241"/>
      <c r="G909" s="243"/>
      <c r="H909" s="241"/>
      <c r="I909" s="243"/>
      <c r="J909" s="241"/>
      <c r="K909" s="243"/>
      <c r="L909" s="241"/>
      <c r="M909" s="243"/>
      <c r="N909" s="241"/>
      <c r="O909" s="243"/>
      <c r="P909" s="241"/>
      <c r="Q909" s="243"/>
      <c r="R909" s="241"/>
      <c r="S909" s="243"/>
      <c r="T909" s="241"/>
      <c r="U909" s="243"/>
      <c r="V909" s="325"/>
      <c r="W909" s="243"/>
      <c r="X909" s="241"/>
      <c r="Y909" s="243"/>
      <c r="Z909" s="241"/>
      <c r="AA909" s="243"/>
      <c r="AB909" s="241"/>
      <c r="AC909" s="243"/>
      <c r="AD909" s="241"/>
      <c r="AE909" s="243"/>
      <c r="AF909" s="241"/>
      <c r="AG909" s="243"/>
      <c r="AH909" s="241"/>
      <c r="AI909" s="243"/>
    </row>
    <row r="910" spans="2:35">
      <c r="B910" s="382" t="s">
        <v>466</v>
      </c>
      <c r="C910" s="244"/>
      <c r="D910" s="241">
        <f t="shared" ref="D910:D911" si="65">F910+H910+J910+L910+N910+P910+R910+T910+V910+X910+Z910+AB910+AD910+AF910+AH910</f>
        <v>0</v>
      </c>
      <c r="E910" s="243"/>
      <c r="F910" s="241"/>
      <c r="G910" s="243"/>
      <c r="H910" s="241"/>
      <c r="I910" s="243"/>
      <c r="J910" s="241"/>
      <c r="K910" s="243"/>
      <c r="L910" s="241"/>
      <c r="M910" s="243"/>
      <c r="N910" s="241"/>
      <c r="O910" s="243"/>
      <c r="P910" s="241"/>
      <c r="Q910" s="243"/>
      <c r="R910" s="241"/>
      <c r="S910" s="243"/>
      <c r="T910" s="241"/>
      <c r="U910" s="243"/>
      <c r="V910" s="325"/>
      <c r="W910" s="243"/>
      <c r="X910" s="241"/>
      <c r="Y910" s="243"/>
      <c r="Z910" s="241"/>
      <c r="AA910" s="243"/>
      <c r="AB910" s="241"/>
      <c r="AC910" s="243"/>
      <c r="AD910" s="241"/>
      <c r="AE910" s="243"/>
      <c r="AF910" s="241"/>
      <c r="AG910" s="243"/>
      <c r="AH910" s="241"/>
      <c r="AI910" s="243"/>
    </row>
    <row r="911" spans="2:35">
      <c r="B911" s="382" t="s">
        <v>467</v>
      </c>
      <c r="C911" s="244"/>
      <c r="D911" s="489">
        <f t="shared" si="65"/>
        <v>0</v>
      </c>
      <c r="E911" s="243"/>
      <c r="F911" s="241"/>
      <c r="G911" s="243"/>
      <c r="H911" s="241"/>
      <c r="I911" s="243"/>
      <c r="J911" s="241"/>
      <c r="K911" s="243"/>
      <c r="L911" s="241"/>
      <c r="M911" s="243"/>
      <c r="N911" s="241"/>
      <c r="O911" s="243"/>
      <c r="P911" s="241"/>
      <c r="Q911" s="243"/>
      <c r="R911" s="241"/>
      <c r="S911" s="243"/>
      <c r="T911" s="241"/>
      <c r="U911" s="243"/>
      <c r="V911" s="325"/>
      <c r="W911" s="243"/>
      <c r="X911" s="241"/>
      <c r="Y911" s="243"/>
      <c r="Z911" s="241"/>
      <c r="AA911" s="243"/>
      <c r="AB911" s="241"/>
      <c r="AC911" s="243"/>
      <c r="AD911" s="489"/>
      <c r="AE911" s="243"/>
      <c r="AF911" s="241"/>
      <c r="AG911" s="243"/>
      <c r="AH911" s="241"/>
      <c r="AI911" s="243"/>
    </row>
    <row r="912" spans="2:35" ht="12" thickBot="1">
      <c r="B912" s="359" t="s">
        <v>465</v>
      </c>
      <c r="C912" s="244"/>
      <c r="D912" s="285">
        <f>+D907+D910</f>
        <v>1222048456</v>
      </c>
      <c r="E912" s="246"/>
      <c r="F912" s="285"/>
      <c r="G912" s="246"/>
      <c r="H912" s="285"/>
      <c r="I912" s="246"/>
      <c r="J912" s="285"/>
      <c r="K912" s="246"/>
      <c r="L912" s="285"/>
      <c r="M912" s="246"/>
      <c r="N912" s="285"/>
      <c r="O912" s="246"/>
      <c r="P912" s="285"/>
      <c r="Q912" s="246"/>
      <c r="R912" s="285"/>
      <c r="S912" s="246"/>
      <c r="T912" s="285"/>
      <c r="U912" s="246"/>
      <c r="V912" s="457"/>
      <c r="W912" s="246"/>
      <c r="X912" s="285"/>
      <c r="Y912" s="246"/>
      <c r="Z912" s="285"/>
      <c r="AA912" s="246"/>
      <c r="AB912" s="285"/>
      <c r="AC912" s="246"/>
      <c r="AD912" s="285">
        <f>+AD907+AD910</f>
        <v>1222048456</v>
      </c>
      <c r="AE912" s="246"/>
      <c r="AF912" s="285"/>
      <c r="AG912" s="246"/>
      <c r="AH912" s="285"/>
      <c r="AI912" s="246"/>
    </row>
    <row r="913" spans="2:35" ht="12.75" thickTop="1" thickBot="1">
      <c r="B913" s="245"/>
      <c r="C913" s="248"/>
      <c r="D913" s="286"/>
      <c r="E913" s="247"/>
      <c r="F913" s="286"/>
      <c r="G913" s="247"/>
      <c r="H913" s="286"/>
      <c r="I913" s="247"/>
      <c r="J913" s="286"/>
      <c r="K913" s="247"/>
      <c r="L913" s="286"/>
      <c r="M913" s="247"/>
      <c r="N913" s="286"/>
      <c r="O913" s="247"/>
      <c r="P913" s="286"/>
      <c r="Q913" s="247"/>
      <c r="R913" s="286"/>
      <c r="S913" s="247"/>
      <c r="T913" s="286"/>
      <c r="U913" s="247"/>
      <c r="V913" s="424"/>
      <c r="W913" s="247"/>
      <c r="X913" s="286"/>
      <c r="Y913" s="247"/>
      <c r="Z913" s="286"/>
      <c r="AA913" s="247"/>
      <c r="AB913" s="286"/>
      <c r="AC913" s="247"/>
      <c r="AD913" s="286"/>
      <c r="AE913" s="247"/>
      <c r="AF913" s="286"/>
      <c r="AG913" s="247"/>
      <c r="AH913" s="286"/>
      <c r="AI913" s="247"/>
    </row>
    <row r="915" spans="2:35">
      <c r="B915" s="675" t="s">
        <v>1031</v>
      </c>
    </row>
    <row r="916" spans="2:35" ht="12" thickBot="1">
      <c r="G916" s="335" t="s">
        <v>247</v>
      </c>
    </row>
    <row r="917" spans="2:35" ht="12" thickBot="1">
      <c r="B917" s="445"/>
      <c r="C917" s="250"/>
      <c r="D917" s="1463" t="s">
        <v>860</v>
      </c>
      <c r="E917" s="1464"/>
      <c r="F917" s="1463" t="s">
        <v>17</v>
      </c>
      <c r="G917" s="1464"/>
      <c r="H917" s="1468"/>
      <c r="I917" s="1468"/>
      <c r="J917" s="1468"/>
      <c r="K917" s="1468"/>
      <c r="L917" s="1468"/>
      <c r="M917" s="1468"/>
      <c r="N917" s="1468"/>
      <c r="O917" s="1468"/>
      <c r="P917" s="1468"/>
      <c r="Q917" s="1468"/>
      <c r="R917" s="1468"/>
      <c r="S917" s="1468"/>
      <c r="T917" s="1468"/>
      <c r="U917" s="1468"/>
      <c r="V917" s="1468"/>
      <c r="W917" s="1468"/>
      <c r="X917" s="1468"/>
      <c r="Y917" s="1468"/>
      <c r="Z917" s="1468"/>
      <c r="AA917" s="1468"/>
      <c r="AB917" s="1468"/>
      <c r="AC917" s="1468"/>
      <c r="AD917" s="1468"/>
      <c r="AE917" s="1468"/>
      <c r="AF917" s="1468"/>
      <c r="AG917" s="1468"/>
      <c r="AH917" s="1468"/>
      <c r="AI917" s="1468"/>
    </row>
    <row r="918" spans="2:35">
      <c r="B918" s="351" t="s">
        <v>469</v>
      </c>
      <c r="C918" s="251"/>
      <c r="D918" s="249"/>
      <c r="E918" s="250">
        <f>G918</f>
        <v>0</v>
      </c>
      <c r="F918" s="249"/>
      <c r="G918" s="250"/>
      <c r="H918" s="458"/>
      <c r="I918" s="458"/>
      <c r="J918" s="458"/>
      <c r="K918" s="458"/>
      <c r="L918" s="458"/>
      <c r="M918" s="458"/>
      <c r="N918" s="458"/>
      <c r="O918" s="458"/>
      <c r="P918" s="458"/>
      <c r="Q918" s="458"/>
      <c r="R918" s="458"/>
      <c r="S918" s="458"/>
      <c r="T918" s="458"/>
      <c r="U918" s="458"/>
      <c r="V918" s="459"/>
      <c r="W918" s="458"/>
      <c r="X918" s="458"/>
      <c r="Y918" s="458"/>
      <c r="Z918" s="458"/>
      <c r="AA918" s="458"/>
      <c r="AB918" s="458"/>
      <c r="AC918" s="458"/>
      <c r="AD918" s="458"/>
      <c r="AE918" s="458"/>
      <c r="AF918" s="458"/>
      <c r="AG918" s="458"/>
      <c r="AH918" s="458"/>
      <c r="AI918" s="458"/>
    </row>
    <row r="919" spans="2:35" ht="21">
      <c r="B919" s="327" t="s">
        <v>470</v>
      </c>
      <c r="C919" s="244"/>
      <c r="D919" s="237"/>
      <c r="E919" s="243">
        <f>G919</f>
        <v>0</v>
      </c>
      <c r="F919" s="237"/>
      <c r="G919" s="243"/>
      <c r="H919" s="458"/>
      <c r="I919" s="458"/>
      <c r="J919" s="458"/>
      <c r="K919" s="458"/>
      <c r="L919" s="458"/>
      <c r="M919" s="458"/>
      <c r="N919" s="458"/>
      <c r="O919" s="458"/>
      <c r="P919" s="458"/>
      <c r="Q919" s="458"/>
      <c r="R919" s="458"/>
      <c r="S919" s="458"/>
      <c r="T919" s="458"/>
      <c r="U919" s="458"/>
      <c r="V919" s="459"/>
      <c r="W919" s="458"/>
      <c r="X919" s="458"/>
      <c r="Y919" s="458"/>
      <c r="Z919" s="458"/>
      <c r="AA919" s="458"/>
      <c r="AB919" s="458"/>
      <c r="AC919" s="458"/>
      <c r="AD919" s="458"/>
      <c r="AE919" s="458"/>
      <c r="AF919" s="458"/>
      <c r="AG919" s="458"/>
      <c r="AH919" s="458"/>
      <c r="AI919" s="458"/>
    </row>
    <row r="920" spans="2:35" ht="21">
      <c r="B920" s="327" t="s">
        <v>471</v>
      </c>
      <c r="C920" s="244"/>
      <c r="D920" s="237"/>
      <c r="E920" s="243">
        <f>G920</f>
        <v>0</v>
      </c>
      <c r="F920" s="237"/>
      <c r="G920" s="243"/>
      <c r="H920" s="458"/>
      <c r="I920" s="458"/>
      <c r="J920" s="458"/>
      <c r="K920" s="458"/>
      <c r="L920" s="458"/>
      <c r="M920" s="458"/>
      <c r="N920" s="458"/>
      <c r="O920" s="458"/>
      <c r="P920" s="458"/>
      <c r="Q920" s="458"/>
      <c r="R920" s="458"/>
      <c r="S920" s="458"/>
      <c r="T920" s="458"/>
      <c r="U920" s="458"/>
      <c r="V920" s="459"/>
      <c r="W920" s="458"/>
      <c r="X920" s="458"/>
      <c r="Y920" s="458"/>
      <c r="Z920" s="458"/>
      <c r="AA920" s="458"/>
      <c r="AB920" s="458"/>
      <c r="AC920" s="458"/>
      <c r="AD920" s="458"/>
      <c r="AE920" s="458"/>
      <c r="AF920" s="458"/>
      <c r="AG920" s="458"/>
      <c r="AH920" s="458"/>
      <c r="AI920" s="458"/>
    </row>
    <row r="921" spans="2:35" ht="12" thickBot="1">
      <c r="B921" s="235" t="s">
        <v>472</v>
      </c>
      <c r="C921" s="248"/>
      <c r="D921" s="245"/>
      <c r="E921" s="247"/>
      <c r="F921" s="245"/>
      <c r="G921" s="247"/>
      <c r="H921" s="458"/>
      <c r="I921" s="458"/>
      <c r="J921" s="458"/>
      <c r="K921" s="458"/>
      <c r="L921" s="458"/>
      <c r="M921" s="458"/>
      <c r="N921" s="458"/>
      <c r="O921" s="458"/>
      <c r="P921" s="458"/>
      <c r="Q921" s="458"/>
      <c r="R921" s="458"/>
      <c r="S921" s="458"/>
      <c r="T921" s="458"/>
      <c r="U921" s="458"/>
      <c r="V921" s="459"/>
      <c r="W921" s="458"/>
      <c r="X921" s="458"/>
      <c r="Y921" s="458"/>
      <c r="Z921" s="458"/>
      <c r="AA921" s="458"/>
      <c r="AB921" s="458"/>
      <c r="AC921" s="458"/>
      <c r="AD921" s="458"/>
      <c r="AE921" s="458"/>
      <c r="AF921" s="458"/>
      <c r="AG921" s="458"/>
      <c r="AH921" s="458"/>
      <c r="AI921" s="458"/>
    </row>
    <row r="925" spans="2:35" ht="15">
      <c r="B925" s="464" t="s">
        <v>497</v>
      </c>
    </row>
    <row r="926" spans="2:35" ht="12" thickBot="1"/>
    <row r="927" spans="2:35" ht="12" thickBot="1">
      <c r="B927" s="465"/>
      <c r="C927" s="466" t="s">
        <v>746</v>
      </c>
      <c r="D927" s="1463" t="s">
        <v>860</v>
      </c>
      <c r="E927" s="1464"/>
      <c r="F927" s="1463" t="s">
        <v>17</v>
      </c>
      <c r="G927" s="1464"/>
      <c r="H927" s="1463" t="s">
        <v>18</v>
      </c>
      <c r="I927" s="1464"/>
      <c r="J927" s="1463" t="s">
        <v>19</v>
      </c>
      <c r="K927" s="1464"/>
      <c r="L927" s="1463" t="s">
        <v>20</v>
      </c>
      <c r="M927" s="1464"/>
      <c r="N927" s="1463" t="s">
        <v>21</v>
      </c>
      <c r="O927" s="1464"/>
      <c r="P927" s="1463" t="s">
        <v>22</v>
      </c>
      <c r="Q927" s="1464"/>
      <c r="R927" s="1463" t="s">
        <v>23</v>
      </c>
      <c r="S927" s="1464"/>
      <c r="T927" s="1463" t="s">
        <v>24</v>
      </c>
      <c r="U927" s="1464"/>
      <c r="V927" s="1463" t="s">
        <v>25</v>
      </c>
      <c r="W927" s="1464"/>
      <c r="X927" s="1463" t="s">
        <v>26</v>
      </c>
      <c r="Y927" s="1464"/>
      <c r="Z927" s="1463" t="s">
        <v>27</v>
      </c>
      <c r="AA927" s="1464"/>
      <c r="AB927" s="1463"/>
      <c r="AC927" s="1464"/>
      <c r="AD927" s="1463" t="s">
        <v>1266</v>
      </c>
      <c r="AE927" s="1464"/>
      <c r="AF927" s="1463" t="s">
        <v>30</v>
      </c>
      <c r="AG927" s="1464"/>
      <c r="AH927" s="1463" t="s">
        <v>31</v>
      </c>
      <c r="AI927" s="1464"/>
    </row>
    <row r="928" spans="2:35" ht="12" thickBot="1">
      <c r="B928" s="467"/>
      <c r="C928" s="468"/>
      <c r="D928" s="302"/>
      <c r="E928" s="265"/>
      <c r="F928" s="302"/>
      <c r="G928" s="265"/>
      <c r="AH928" s="249"/>
      <c r="AI928" s="250"/>
    </row>
    <row r="929" spans="2:35">
      <c r="B929" s="469" t="s">
        <v>632</v>
      </c>
      <c r="C929" s="470"/>
      <c r="D929" s="262"/>
      <c r="E929" s="263"/>
      <c r="F929" s="269"/>
      <c r="G929" s="263"/>
      <c r="H929" s="269"/>
      <c r="I929" s="263"/>
      <c r="J929" s="269"/>
      <c r="K929" s="263"/>
      <c r="L929" s="269"/>
      <c r="M929" s="263"/>
      <c r="N929" s="269"/>
      <c r="O929" s="263"/>
      <c r="P929" s="269"/>
      <c r="Q929" s="263"/>
      <c r="R929" s="269"/>
      <c r="S929" s="263"/>
      <c r="T929" s="269"/>
      <c r="U929" s="263"/>
      <c r="V929" s="269"/>
      <c r="W929" s="263"/>
      <c r="X929" s="269"/>
      <c r="Y929" s="263"/>
      <c r="Z929" s="269"/>
      <c r="AA929" s="263"/>
      <c r="AB929" s="269"/>
      <c r="AC929" s="263"/>
      <c r="AD929" s="269"/>
      <c r="AE929" s="263"/>
      <c r="AF929" s="269"/>
      <c r="AG929" s="263"/>
      <c r="AH929" s="269"/>
      <c r="AI929" s="263"/>
    </row>
    <row r="930" spans="2:35">
      <c r="B930" s="262" t="s">
        <v>633</v>
      </c>
      <c r="C930" s="471">
        <v>3</v>
      </c>
      <c r="D930" s="262"/>
      <c r="E930" s="263"/>
      <c r="F930" s="269"/>
      <c r="G930" s="263"/>
      <c r="H930" s="269"/>
      <c r="I930" s="263"/>
      <c r="J930" s="269"/>
      <c r="K930" s="263"/>
      <c r="L930" s="269"/>
      <c r="M930" s="263"/>
      <c r="N930" s="269"/>
      <c r="O930" s="263"/>
      <c r="P930" s="269"/>
      <c r="Q930" s="263"/>
      <c r="R930" s="269"/>
      <c r="S930" s="263"/>
      <c r="T930" s="269"/>
      <c r="U930" s="263"/>
      <c r="V930" s="269"/>
      <c r="W930" s="263"/>
      <c r="X930" s="269"/>
      <c r="Y930" s="263"/>
      <c r="Z930" s="269"/>
      <c r="AA930" s="263"/>
      <c r="AB930" s="269"/>
      <c r="AC930" s="263"/>
      <c r="AD930" s="269"/>
      <c r="AE930" s="263"/>
      <c r="AF930" s="269"/>
      <c r="AG930" s="263"/>
      <c r="AH930" s="269"/>
      <c r="AI930" s="263"/>
    </row>
    <row r="931" spans="2:35">
      <c r="B931" s="262" t="s">
        <v>634</v>
      </c>
      <c r="C931" s="471">
        <v>3.1</v>
      </c>
      <c r="D931" s="262">
        <f>F931+H931+J931+L931+N931+P931+R931+T931+V931+X931+Z931+AB931+AD931+AF931+AH931</f>
        <v>1000000000</v>
      </c>
      <c r="E931" s="263"/>
      <c r="F931" s="269">
        <f>E16</f>
        <v>1000000000</v>
      </c>
      <c r="G931" s="263"/>
      <c r="H931" s="269">
        <f>I16</f>
        <v>0</v>
      </c>
      <c r="I931" s="263"/>
      <c r="J931" s="269">
        <f>K16</f>
        <v>0</v>
      </c>
      <c r="K931" s="263"/>
      <c r="L931" s="269">
        <f>M16</f>
        <v>0</v>
      </c>
      <c r="M931" s="263"/>
      <c r="N931" s="269">
        <f>O16</f>
        <v>0</v>
      </c>
      <c r="O931" s="263"/>
      <c r="P931" s="269">
        <f>Q16</f>
        <v>0</v>
      </c>
      <c r="Q931" s="263"/>
      <c r="R931" s="269">
        <f>S16</f>
        <v>0</v>
      </c>
      <c r="S931" s="263"/>
      <c r="T931" s="269">
        <f>U16</f>
        <v>0</v>
      </c>
      <c r="U931" s="263"/>
      <c r="V931" s="269">
        <f>W16</f>
        <v>0</v>
      </c>
      <c r="W931" s="263"/>
      <c r="X931" s="269">
        <f>Y16</f>
        <v>0</v>
      </c>
      <c r="Y931" s="263"/>
      <c r="Z931" s="269">
        <f>AA16</f>
        <v>0</v>
      </c>
      <c r="AA931" s="263"/>
      <c r="AB931" s="269">
        <f>AC16</f>
        <v>0</v>
      </c>
      <c r="AC931" s="263"/>
      <c r="AD931" s="269">
        <f>AE16</f>
        <v>0</v>
      </c>
      <c r="AE931" s="263"/>
      <c r="AF931" s="269">
        <f>AG16</f>
        <v>0</v>
      </c>
      <c r="AG931" s="263"/>
      <c r="AH931" s="269">
        <f>AI16</f>
        <v>0</v>
      </c>
      <c r="AI931" s="263"/>
    </row>
    <row r="932" spans="2:35">
      <c r="B932" s="262" t="s">
        <v>635</v>
      </c>
      <c r="C932" s="471">
        <v>3.2</v>
      </c>
      <c r="D932" s="262">
        <f>F932+H932+J932+L932+N932+P932+R932+T932+V932+X932+Z932+AB932+AD932+AF932+AH932</f>
        <v>173906481</v>
      </c>
      <c r="E932" s="263"/>
      <c r="F932" s="269">
        <f>E72-E46+E86</f>
        <v>173218155</v>
      </c>
      <c r="G932" s="263"/>
      <c r="H932" s="269">
        <f>K56</f>
        <v>0</v>
      </c>
      <c r="I932" s="263"/>
      <c r="J932" s="269">
        <f>M56</f>
        <v>0</v>
      </c>
      <c r="K932" s="263"/>
      <c r="L932" s="269">
        <f>O56</f>
        <v>0</v>
      </c>
      <c r="M932" s="263"/>
      <c r="N932" s="269">
        <f>Q56</f>
        <v>0</v>
      </c>
      <c r="O932" s="263"/>
      <c r="P932" s="269">
        <f>S56</f>
        <v>0</v>
      </c>
      <c r="Q932" s="263"/>
      <c r="R932" s="269">
        <f>U56</f>
        <v>0</v>
      </c>
      <c r="S932" s="263"/>
      <c r="T932" s="269">
        <f>W56</f>
        <v>0</v>
      </c>
      <c r="U932" s="263"/>
      <c r="V932" s="269">
        <f>Y56</f>
        <v>0</v>
      </c>
      <c r="W932" s="263"/>
      <c r="X932" s="269">
        <f>AA56</f>
        <v>0</v>
      </c>
      <c r="Y932" s="263"/>
      <c r="Z932" s="269">
        <f>AC56</f>
        <v>0</v>
      </c>
      <c r="AA932" s="263"/>
      <c r="AB932" s="269">
        <f>AE56</f>
        <v>0</v>
      </c>
      <c r="AC932" s="263"/>
      <c r="AD932" s="269">
        <f>AG56</f>
        <v>0</v>
      </c>
      <c r="AE932" s="263"/>
      <c r="AF932" s="269">
        <f>AI56</f>
        <v>0</v>
      </c>
      <c r="AG932" s="263"/>
      <c r="AH932" s="269">
        <f>E46</f>
        <v>688326</v>
      </c>
      <c r="AI932" s="263"/>
    </row>
    <row r="933" spans="2:35" ht="12" thickBot="1">
      <c r="B933" s="262" t="s">
        <v>636</v>
      </c>
      <c r="C933" s="471"/>
      <c r="D933" s="264">
        <f>F933+H933+J933+L933+N933+P933+R933+T933+V933+X933+Z933+AB933+AD933+AF933+AH933</f>
        <v>0</v>
      </c>
      <c r="E933" s="263">
        <f>+SUM(D931:D933)</f>
        <v>1173906481</v>
      </c>
      <c r="F933" s="264"/>
      <c r="G933" s="263">
        <f>+SUM(F931:F933)</f>
        <v>1173218155</v>
      </c>
      <c r="H933" s="264"/>
      <c r="I933" s="263">
        <f>+SUM(H931:H933)</f>
        <v>0</v>
      </c>
      <c r="J933" s="264"/>
      <c r="K933" s="263">
        <f>+SUM(J931:J933)</f>
        <v>0</v>
      </c>
      <c r="L933" s="264"/>
      <c r="M933" s="263">
        <f>+SUM(L931:L933)</f>
        <v>0</v>
      </c>
      <c r="N933" s="264"/>
      <c r="O933" s="263">
        <f>+SUM(N931:N933)</f>
        <v>0</v>
      </c>
      <c r="P933" s="264"/>
      <c r="Q933" s="263">
        <f>+SUM(P931:P933)</f>
        <v>0</v>
      </c>
      <c r="R933" s="264"/>
      <c r="S933" s="263">
        <f>+SUM(R931:R933)</f>
        <v>0</v>
      </c>
      <c r="T933" s="264"/>
      <c r="U933" s="263">
        <f>+SUM(T931:T933)</f>
        <v>0</v>
      </c>
      <c r="V933" s="264"/>
      <c r="W933" s="263">
        <f>+SUM(V931:V933)</f>
        <v>0</v>
      </c>
      <c r="X933" s="264"/>
      <c r="Y933" s="263">
        <f>+SUM(X931:X933)</f>
        <v>0</v>
      </c>
      <c r="Z933" s="264"/>
      <c r="AA933" s="263">
        <f>+SUM(Z931:Z933)</f>
        <v>0</v>
      </c>
      <c r="AB933" s="264"/>
      <c r="AC933" s="263">
        <f>+SUM(AB931:AB933)</f>
        <v>0</v>
      </c>
      <c r="AD933" s="264"/>
      <c r="AE933" s="263">
        <f>+SUM(AD931:AD933)</f>
        <v>0</v>
      </c>
      <c r="AF933" s="264"/>
      <c r="AG933" s="263">
        <f>+SUM(AF931:AF933)</f>
        <v>0</v>
      </c>
      <c r="AH933" s="264"/>
      <c r="AI933" s="263">
        <f>+SUM(AH931:AH933)</f>
        <v>688326</v>
      </c>
    </row>
    <row r="934" spans="2:35">
      <c r="B934" s="262"/>
      <c r="C934" s="471"/>
      <c r="D934" s="262"/>
      <c r="E934" s="263"/>
      <c r="F934" s="269"/>
      <c r="G934" s="263"/>
      <c r="H934" s="269"/>
      <c r="I934" s="263"/>
      <c r="J934" s="269"/>
      <c r="K934" s="263"/>
      <c r="L934" s="269"/>
      <c r="M934" s="263"/>
      <c r="N934" s="269"/>
      <c r="O934" s="263"/>
      <c r="P934" s="269"/>
      <c r="Q934" s="263"/>
      <c r="R934" s="269"/>
      <c r="S934" s="263"/>
      <c r="T934" s="269"/>
      <c r="U934" s="263"/>
      <c r="V934" s="269"/>
      <c r="W934" s="263"/>
      <c r="X934" s="269"/>
      <c r="Y934" s="263"/>
      <c r="Z934" s="269"/>
      <c r="AA934" s="263"/>
      <c r="AB934" s="269"/>
      <c r="AC934" s="263"/>
      <c r="AD934" s="269"/>
      <c r="AE934" s="263"/>
      <c r="AF934" s="269"/>
      <c r="AG934" s="263"/>
      <c r="AH934" s="269"/>
      <c r="AI934" s="263"/>
    </row>
    <row r="935" spans="2:35" ht="21.75">
      <c r="B935" s="472" t="s">
        <v>637</v>
      </c>
      <c r="C935" s="471"/>
      <c r="D935" s="262"/>
      <c r="E935" s="263"/>
      <c r="F935" s="269"/>
      <c r="G935" s="263"/>
      <c r="H935" s="269"/>
      <c r="I935" s="263"/>
      <c r="J935" s="269"/>
      <c r="K935" s="263"/>
      <c r="L935" s="269"/>
      <c r="M935" s="263"/>
      <c r="N935" s="269"/>
      <c r="O935" s="263"/>
      <c r="P935" s="269"/>
      <c r="Q935" s="263"/>
      <c r="R935" s="269"/>
      <c r="S935" s="263"/>
      <c r="T935" s="269"/>
      <c r="U935" s="263"/>
      <c r="V935" s="269"/>
      <c r="W935" s="263"/>
      <c r="X935" s="269"/>
      <c r="Y935" s="263"/>
      <c r="Z935" s="269"/>
      <c r="AA935" s="263"/>
      <c r="AB935" s="269"/>
      <c r="AC935" s="263"/>
      <c r="AD935" s="269"/>
      <c r="AE935" s="263"/>
      <c r="AF935" s="269"/>
      <c r="AG935" s="263"/>
      <c r="AH935" s="269"/>
      <c r="AI935" s="263"/>
    </row>
    <row r="936" spans="2:35">
      <c r="B936" s="262"/>
      <c r="C936" s="471"/>
      <c r="D936" s="262"/>
      <c r="E936" s="263"/>
      <c r="F936" s="269"/>
      <c r="G936" s="263"/>
      <c r="H936" s="269"/>
      <c r="I936" s="263"/>
      <c r="J936" s="269"/>
      <c r="K936" s="263"/>
      <c r="L936" s="269"/>
      <c r="M936" s="263"/>
      <c r="N936" s="269"/>
      <c r="O936" s="263"/>
      <c r="P936" s="269"/>
      <c r="Q936" s="263"/>
      <c r="R936" s="269"/>
      <c r="S936" s="263"/>
      <c r="T936" s="269"/>
      <c r="U936" s="263"/>
      <c r="V936" s="269"/>
      <c r="W936" s="263"/>
      <c r="X936" s="269"/>
      <c r="Y936" s="263"/>
      <c r="Z936" s="269"/>
      <c r="AA936" s="263"/>
      <c r="AB936" s="269"/>
      <c r="AC936" s="263"/>
      <c r="AD936" s="269"/>
      <c r="AE936" s="263"/>
      <c r="AF936" s="269"/>
      <c r="AG936" s="263"/>
      <c r="AH936" s="269"/>
      <c r="AI936" s="263"/>
    </row>
    <row r="937" spans="2:35">
      <c r="B937" s="262" t="s">
        <v>638</v>
      </c>
      <c r="C937" s="471">
        <v>4</v>
      </c>
      <c r="D937" s="262"/>
      <c r="E937" s="263"/>
      <c r="F937" s="269"/>
      <c r="G937" s="263"/>
      <c r="H937" s="269"/>
      <c r="I937" s="263"/>
      <c r="J937" s="269"/>
      <c r="K937" s="263"/>
      <c r="L937" s="269"/>
      <c r="M937" s="263"/>
      <c r="N937" s="269"/>
      <c r="O937" s="263"/>
      <c r="P937" s="269"/>
      <c r="Q937" s="263"/>
      <c r="R937" s="269"/>
      <c r="S937" s="263"/>
      <c r="T937" s="269"/>
      <c r="U937" s="263"/>
      <c r="V937" s="269"/>
      <c r="W937" s="263"/>
      <c r="X937" s="269"/>
      <c r="Y937" s="263"/>
      <c r="Z937" s="269"/>
      <c r="AA937" s="263"/>
      <c r="AB937" s="269"/>
      <c r="AC937" s="263"/>
      <c r="AD937" s="269"/>
      <c r="AE937" s="263"/>
      <c r="AF937" s="269"/>
      <c r="AG937" s="263"/>
      <c r="AH937" s="269"/>
      <c r="AI937" s="263"/>
    </row>
    <row r="938" spans="2:35">
      <c r="B938" s="262" t="s">
        <v>639</v>
      </c>
      <c r="C938" s="471">
        <v>4.0999999999999996</v>
      </c>
      <c r="D938" s="262">
        <f>F938+H938+J938+L938+N938+P938+R938+T938+V938+X938+Z938+AB938+AD938+AF938+AH938</f>
        <v>0</v>
      </c>
      <c r="E938" s="263"/>
      <c r="F938" s="269">
        <f>G124</f>
        <v>0</v>
      </c>
      <c r="G938" s="263"/>
      <c r="H938" s="269">
        <f>I124</f>
        <v>0</v>
      </c>
      <c r="I938" s="263"/>
      <c r="J938" s="269">
        <f>K124</f>
        <v>0</v>
      </c>
      <c r="K938" s="263"/>
      <c r="L938" s="269">
        <f>M124</f>
        <v>0</v>
      </c>
      <c r="M938" s="263"/>
      <c r="N938" s="269">
        <f>O124</f>
        <v>0</v>
      </c>
      <c r="O938" s="263"/>
      <c r="P938" s="269">
        <f>Q124</f>
        <v>0</v>
      </c>
      <c r="Q938" s="263"/>
      <c r="R938" s="269">
        <f>S124</f>
        <v>0</v>
      </c>
      <c r="S938" s="263"/>
      <c r="T938" s="269">
        <f>U124</f>
        <v>0</v>
      </c>
      <c r="U938" s="263"/>
      <c r="V938" s="269">
        <f>W124</f>
        <v>0</v>
      </c>
      <c r="W938" s="263"/>
      <c r="X938" s="269">
        <f>Y124</f>
        <v>0</v>
      </c>
      <c r="Y938" s="263"/>
      <c r="Z938" s="269">
        <f>AA124</f>
        <v>0</v>
      </c>
      <c r="AA938" s="263"/>
      <c r="AB938" s="269">
        <f>AC124</f>
        <v>0</v>
      </c>
      <c r="AC938" s="263"/>
      <c r="AD938" s="269">
        <f>AE124</f>
        <v>0</v>
      </c>
      <c r="AE938" s="263"/>
      <c r="AF938" s="269">
        <f>AG124</f>
        <v>0</v>
      </c>
      <c r="AG938" s="263"/>
      <c r="AH938" s="269">
        <f>AI124</f>
        <v>0</v>
      </c>
      <c r="AI938" s="263"/>
    </row>
    <row r="939" spans="2:35">
      <c r="B939" s="262" t="s">
        <v>640</v>
      </c>
      <c r="C939" s="471"/>
      <c r="D939" s="262">
        <f>F939+H939+J939+L939+N939+P939+R939+T939+V939+X939+Z939+AB939+AD939+AF939+AH939</f>
        <v>0</v>
      </c>
      <c r="E939" s="263"/>
      <c r="F939" s="269"/>
      <c r="G939" s="263"/>
      <c r="H939" s="269"/>
      <c r="I939" s="263"/>
      <c r="J939" s="269"/>
      <c r="K939" s="263"/>
      <c r="L939" s="269"/>
      <c r="M939" s="263"/>
      <c r="N939" s="269"/>
      <c r="O939" s="263"/>
      <c r="P939" s="269"/>
      <c r="Q939" s="263"/>
      <c r="R939" s="269"/>
      <c r="S939" s="263"/>
      <c r="T939" s="269"/>
      <c r="U939" s="263"/>
      <c r="V939" s="269"/>
      <c r="W939" s="263"/>
      <c r="X939" s="269"/>
      <c r="Y939" s="263"/>
      <c r="Z939" s="269"/>
      <c r="AA939" s="263"/>
      <c r="AB939" s="269"/>
      <c r="AC939" s="263"/>
      <c r="AD939" s="269"/>
      <c r="AE939" s="263"/>
      <c r="AF939" s="269"/>
      <c r="AG939" s="263"/>
      <c r="AH939" s="269"/>
      <c r="AI939" s="263"/>
    </row>
    <row r="940" spans="2:35">
      <c r="B940" s="262" t="s">
        <v>641</v>
      </c>
      <c r="C940" s="471">
        <v>4.2</v>
      </c>
      <c r="D940" s="262">
        <f>F940+H940+J940+L940+N940+P940+R940+T940+V940+X940+Z940+AB940+AD940+AF940+AH940</f>
        <v>264636859</v>
      </c>
      <c r="E940" s="263"/>
      <c r="F940" s="269">
        <f>G144</f>
        <v>0</v>
      </c>
      <c r="G940" s="263"/>
      <c r="H940" s="269">
        <f>I144</f>
        <v>0</v>
      </c>
      <c r="I940" s="263"/>
      <c r="J940" s="269">
        <f>K144</f>
        <v>0</v>
      </c>
      <c r="K940" s="263"/>
      <c r="L940" s="269">
        <f>M144</f>
        <v>0</v>
      </c>
      <c r="M940" s="263"/>
      <c r="N940" s="269">
        <f>O144</f>
        <v>0</v>
      </c>
      <c r="O940" s="263"/>
      <c r="P940" s="269">
        <f>Q144</f>
        <v>1284174</v>
      </c>
      <c r="Q940" s="263"/>
      <c r="R940" s="269">
        <f>S144</f>
        <v>0</v>
      </c>
      <c r="S940" s="263"/>
      <c r="T940" s="269">
        <f>U144</f>
        <v>40467003</v>
      </c>
      <c r="U940" s="263"/>
      <c r="V940" s="269">
        <f>W144</f>
        <v>0</v>
      </c>
      <c r="W940" s="263"/>
      <c r="X940" s="269">
        <f>Y144</f>
        <v>0</v>
      </c>
      <c r="Y940" s="263"/>
      <c r="Z940" s="269">
        <f>AA144</f>
        <v>188491631</v>
      </c>
      <c r="AA940" s="263"/>
      <c r="AB940" s="269">
        <f>AC144</f>
        <v>0</v>
      </c>
      <c r="AC940" s="263"/>
      <c r="AD940" s="269">
        <f>AE144</f>
        <v>0</v>
      </c>
      <c r="AE940" s="263"/>
      <c r="AF940" s="269">
        <f>AG144</f>
        <v>20835242</v>
      </c>
      <c r="AG940" s="263"/>
      <c r="AH940" s="269">
        <f>AI144</f>
        <v>13558809</v>
      </c>
      <c r="AI940" s="263"/>
    </row>
    <row r="941" spans="2:35" ht="12" thickBot="1">
      <c r="B941" s="262" t="s">
        <v>642</v>
      </c>
      <c r="C941" s="471">
        <v>4.3</v>
      </c>
      <c r="D941" s="264">
        <f>F941+H941+J941+L941+N941+P941+R941+T941+V941+X941+Z941+AB941+AD941+AF941+AH941</f>
        <v>1771236074</v>
      </c>
      <c r="E941" s="263">
        <f>+SUM(D938:D941)</f>
        <v>2035872933</v>
      </c>
      <c r="F941" s="264">
        <f>G163</f>
        <v>527733707</v>
      </c>
      <c r="G941" s="263">
        <f>+SUM(F938:F941)</f>
        <v>527733707</v>
      </c>
      <c r="H941" s="264">
        <f>I163</f>
        <v>142284797</v>
      </c>
      <c r="I941" s="263">
        <f>+SUM(H938:H941)</f>
        <v>142284797</v>
      </c>
      <c r="J941" s="264">
        <f>K163</f>
        <v>21825733</v>
      </c>
      <c r="K941" s="263">
        <f>+SUM(J938:J941)</f>
        <v>21825733</v>
      </c>
      <c r="L941" s="264">
        <f>M163</f>
        <v>33641079</v>
      </c>
      <c r="M941" s="263">
        <f>+SUM(L938:L941)</f>
        <v>33641079</v>
      </c>
      <c r="N941" s="264">
        <f>O163</f>
        <v>0</v>
      </c>
      <c r="O941" s="263">
        <f>+SUM(N938:N941)</f>
        <v>0</v>
      </c>
      <c r="P941" s="264">
        <f>Q163</f>
        <v>149770818</v>
      </c>
      <c r="Q941" s="263">
        <f>+SUM(P938:P941)</f>
        <v>151054992</v>
      </c>
      <c r="R941" s="754">
        <f>S163</f>
        <v>63806639</v>
      </c>
      <c r="S941" s="263">
        <f>+SUM(R938:R941)</f>
        <v>63806639</v>
      </c>
      <c r="T941" s="264">
        <f>U163</f>
        <v>172672657</v>
      </c>
      <c r="U941" s="263">
        <f>+SUM(T938:T941)</f>
        <v>213139660</v>
      </c>
      <c r="V941" s="264">
        <f>W163</f>
        <v>162432315</v>
      </c>
      <c r="W941" s="263">
        <f>+SUM(V938:V941)</f>
        <v>162432315</v>
      </c>
      <c r="X941" s="264">
        <f>Y163</f>
        <v>21398771</v>
      </c>
      <c r="Y941" s="263">
        <f>+SUM(X938:X941)</f>
        <v>21398771</v>
      </c>
      <c r="Z941" s="264">
        <f>AA163</f>
        <v>98968083</v>
      </c>
      <c r="AA941" s="263">
        <f>+SUM(Z938:Z941)</f>
        <v>287459714</v>
      </c>
      <c r="AB941" s="264">
        <f>AC163</f>
        <v>0</v>
      </c>
      <c r="AC941" s="263">
        <f>+SUM(AB938:AB941)</f>
        <v>0</v>
      </c>
      <c r="AD941" s="264">
        <f>AE163</f>
        <v>138731974</v>
      </c>
      <c r="AE941" s="263">
        <f>+SUM(AD938:AD941)</f>
        <v>138731974</v>
      </c>
      <c r="AF941" s="264">
        <f>AG163</f>
        <v>232401962</v>
      </c>
      <c r="AG941" s="263">
        <f>+SUM(AF938:AF941)</f>
        <v>253237204</v>
      </c>
      <c r="AH941" s="264">
        <f>AI163</f>
        <v>5567539</v>
      </c>
      <c r="AI941" s="263">
        <f>+SUM(AH938:AH941)</f>
        <v>19126348</v>
      </c>
    </row>
    <row r="942" spans="2:35">
      <c r="B942" s="262"/>
      <c r="C942" s="471"/>
      <c r="D942" s="262"/>
      <c r="E942" s="263"/>
      <c r="F942" s="269"/>
      <c r="G942" s="263"/>
      <c r="H942" s="269"/>
      <c r="I942" s="263"/>
      <c r="J942" s="269"/>
      <c r="K942" s="263"/>
      <c r="L942" s="269"/>
      <c r="M942" s="263"/>
      <c r="N942" s="269"/>
      <c r="O942" s="263"/>
      <c r="P942" s="269"/>
      <c r="Q942" s="263"/>
      <c r="R942" s="269"/>
      <c r="S942" s="263"/>
      <c r="T942" s="269"/>
      <c r="U942" s="263"/>
      <c r="V942" s="269"/>
      <c r="W942" s="263"/>
      <c r="X942" s="269"/>
      <c r="Y942" s="263"/>
      <c r="Z942" s="269"/>
      <c r="AA942" s="263"/>
      <c r="AB942" s="269"/>
      <c r="AC942" s="263"/>
      <c r="AD942" s="269"/>
      <c r="AE942" s="263"/>
      <c r="AF942" s="269"/>
      <c r="AG942" s="263"/>
      <c r="AH942" s="269"/>
      <c r="AI942" s="263"/>
    </row>
    <row r="943" spans="2:35">
      <c r="B943" s="262" t="s">
        <v>643</v>
      </c>
      <c r="C943" s="471">
        <v>5</v>
      </c>
      <c r="D943" s="262"/>
      <c r="E943" s="263"/>
      <c r="F943" s="269"/>
      <c r="G943" s="263"/>
      <c r="H943" s="269"/>
      <c r="I943" s="263"/>
      <c r="J943" s="269"/>
      <c r="K943" s="263"/>
      <c r="L943" s="269"/>
      <c r="M943" s="263"/>
      <c r="N943" s="269"/>
      <c r="O943" s="263"/>
      <c r="P943" s="269"/>
      <c r="Q943" s="263"/>
      <c r="R943" s="269"/>
      <c r="S943" s="263"/>
      <c r="T943" s="269"/>
      <c r="U943" s="263"/>
      <c r="V943" s="269"/>
      <c r="W943" s="263"/>
      <c r="X943" s="269"/>
      <c r="Y943" s="263"/>
      <c r="Z943" s="269"/>
      <c r="AA943" s="263"/>
      <c r="AB943" s="269"/>
      <c r="AC943" s="263"/>
      <c r="AD943" s="269"/>
      <c r="AE943" s="263"/>
      <c r="AF943" s="269"/>
      <c r="AG943" s="263"/>
      <c r="AH943" s="269"/>
      <c r="AI943" s="263"/>
    </row>
    <row r="944" spans="2:35">
      <c r="B944" s="262" t="s">
        <v>657</v>
      </c>
      <c r="C944" s="471">
        <v>5.0999999999999996</v>
      </c>
      <c r="D944" s="262">
        <f>F944+H944+J944+L944+N944+P944+R944+T944+V944+X944+Z944+AB944+AD944+AF944+AH944</f>
        <v>2866488481</v>
      </c>
      <c r="E944" s="263"/>
      <c r="F944" s="269">
        <f>G178</f>
        <v>2864529883</v>
      </c>
      <c r="G944" s="263"/>
      <c r="H944" s="269">
        <f>I178</f>
        <v>0</v>
      </c>
      <c r="I944" s="263"/>
      <c r="J944" s="269">
        <f>K178</f>
        <v>165257</v>
      </c>
      <c r="K944" s="263"/>
      <c r="L944" s="269">
        <f>M178</f>
        <v>0</v>
      </c>
      <c r="M944" s="263"/>
      <c r="N944" s="269">
        <f>O178</f>
        <v>0</v>
      </c>
      <c r="O944" s="263"/>
      <c r="P944" s="269">
        <f>Q178</f>
        <v>0</v>
      </c>
      <c r="Q944" s="263"/>
      <c r="R944" s="269">
        <f>S178</f>
        <v>16384</v>
      </c>
      <c r="S944" s="263"/>
      <c r="T944" s="269">
        <f>U178</f>
        <v>254587</v>
      </c>
      <c r="U944" s="263"/>
      <c r="V944" s="269">
        <f>W178</f>
        <v>966211</v>
      </c>
      <c r="W944" s="263"/>
      <c r="X944" s="269">
        <f>Y178</f>
        <v>224087</v>
      </c>
      <c r="Y944" s="263"/>
      <c r="Z944" s="269">
        <f>AA178</f>
        <v>55756</v>
      </c>
      <c r="AA944" s="263"/>
      <c r="AB944" s="269">
        <f>AC178</f>
        <v>0</v>
      </c>
      <c r="AC944" s="263"/>
      <c r="AD944" s="269">
        <f>AE178</f>
        <v>276316</v>
      </c>
      <c r="AE944" s="263"/>
      <c r="AF944" s="269">
        <f>AG178</f>
        <v>0</v>
      </c>
      <c r="AG944" s="263"/>
      <c r="AH944" s="269">
        <f>AI178</f>
        <v>0</v>
      </c>
      <c r="AI944" s="263"/>
    </row>
    <row r="945" spans="2:35">
      <c r="B945" s="262" t="s">
        <v>658</v>
      </c>
      <c r="C945" s="471">
        <v>5.2</v>
      </c>
      <c r="D945" s="262">
        <f>F945+H945+J945+L945+N945+P945+R945+T945+V945+X945+Z945+AB945+AD945+AF945+AH945</f>
        <v>31643840201</v>
      </c>
      <c r="E945" s="263"/>
      <c r="F945" s="269">
        <f>G192</f>
        <v>20691058381</v>
      </c>
      <c r="G945" s="263"/>
      <c r="H945" s="269">
        <f>I192</f>
        <v>13517626</v>
      </c>
      <c r="I945" s="263"/>
      <c r="J945" s="269">
        <f>K192</f>
        <v>3682923601</v>
      </c>
      <c r="K945" s="263"/>
      <c r="L945" s="269">
        <f>M192</f>
        <v>170555201</v>
      </c>
      <c r="M945" s="263"/>
      <c r="N945" s="269">
        <f>O192</f>
        <v>0</v>
      </c>
      <c r="O945" s="263"/>
      <c r="P945" s="269">
        <f>Q192</f>
        <v>405400757</v>
      </c>
      <c r="Q945" s="263"/>
      <c r="R945" s="269">
        <f>S192</f>
        <v>0</v>
      </c>
      <c r="S945" s="263"/>
      <c r="T945" s="269">
        <f>U192</f>
        <v>3137947356</v>
      </c>
      <c r="U945" s="263"/>
      <c r="V945" s="269">
        <f>W192</f>
        <v>462542242</v>
      </c>
      <c r="W945" s="263"/>
      <c r="X945" s="269">
        <f>Y192</f>
        <v>56675</v>
      </c>
      <c r="Y945" s="263"/>
      <c r="Z945" s="269">
        <f>AA192</f>
        <v>1305174021</v>
      </c>
      <c r="AA945" s="263"/>
      <c r="AB945" s="269">
        <f>AC192</f>
        <v>0</v>
      </c>
      <c r="AC945" s="263"/>
      <c r="AD945" s="269">
        <f>AE192</f>
        <v>7514450</v>
      </c>
      <c r="AE945" s="263"/>
      <c r="AF945" s="269">
        <f>AG192</f>
        <v>1767149891</v>
      </c>
      <c r="AG945" s="263"/>
      <c r="AH945" s="269">
        <f>AI192</f>
        <v>0</v>
      </c>
      <c r="AI945" s="263"/>
    </row>
    <row r="946" spans="2:35">
      <c r="B946" s="262" t="s">
        <v>659</v>
      </c>
      <c r="C946" s="471">
        <v>5.3</v>
      </c>
      <c r="D946" s="262">
        <f>F946+H946+J946+L946+N946+P946+R946+T946+V946+X946+Z946+AB946+AD946+AF946+AH946</f>
        <v>8376002629</v>
      </c>
      <c r="E946" s="263"/>
      <c r="F946" s="269">
        <f>G223</f>
        <v>-9988745531</v>
      </c>
      <c r="G946" s="263"/>
      <c r="H946" s="269">
        <f>I223</f>
        <v>362724921</v>
      </c>
      <c r="I946" s="263"/>
      <c r="J946" s="269">
        <f>K223</f>
        <v>-610082702</v>
      </c>
      <c r="K946" s="263"/>
      <c r="L946" s="269">
        <f>M223</f>
        <v>5602012928</v>
      </c>
      <c r="M946" s="263"/>
      <c r="N946" s="269">
        <f>O223</f>
        <v>0</v>
      </c>
      <c r="O946" s="263"/>
      <c r="P946" s="269">
        <f>Q223</f>
        <v>1605860884</v>
      </c>
      <c r="Q946" s="263"/>
      <c r="R946" s="269">
        <f>S223</f>
        <v>-36005839</v>
      </c>
      <c r="S946" s="263"/>
      <c r="T946" s="269">
        <f>U223</f>
        <v>8860711862</v>
      </c>
      <c r="U946" s="263"/>
      <c r="V946" s="269">
        <f>W223</f>
        <v>-388783653</v>
      </c>
      <c r="W946" s="263"/>
      <c r="X946" s="269">
        <f>Y223</f>
        <v>110230949</v>
      </c>
      <c r="Y946" s="263"/>
      <c r="Z946" s="269">
        <f>AA223</f>
        <v>200030928</v>
      </c>
      <c r="AA946" s="263"/>
      <c r="AB946" s="269">
        <f>AC223</f>
        <v>0</v>
      </c>
      <c r="AC946" s="263"/>
      <c r="AD946" s="269">
        <f>AE223</f>
        <v>1323347975</v>
      </c>
      <c r="AE946" s="263"/>
      <c r="AF946" s="269">
        <f>AG223</f>
        <v>1345765414</v>
      </c>
      <c r="AG946" s="263"/>
      <c r="AH946" s="269">
        <f>AI223</f>
        <v>-11065507</v>
      </c>
      <c r="AI946" s="263"/>
    </row>
    <row r="947" spans="2:35" ht="12" thickBot="1">
      <c r="B947" s="262" t="s">
        <v>660</v>
      </c>
      <c r="C947" s="471">
        <v>5.4</v>
      </c>
      <c r="D947" s="264">
        <f>F947+H947+J947+L947+N947+P947+R947+T947+V947+X947+Z947+AB947+AD947+AF947+AH947</f>
        <v>994851142</v>
      </c>
      <c r="E947" s="263">
        <f>+SUM(D944:D947)</f>
        <v>43881182453</v>
      </c>
      <c r="F947" s="264">
        <f>G250</f>
        <v>889391651</v>
      </c>
      <c r="G947" s="263">
        <f>+SUM(F944:F947)</f>
        <v>14456234384</v>
      </c>
      <c r="H947" s="264">
        <f>I250</f>
        <v>13423849</v>
      </c>
      <c r="I947" s="263">
        <f>+SUM(H944:H947)</f>
        <v>389666396</v>
      </c>
      <c r="J947" s="264">
        <f>K250</f>
        <v>753838</v>
      </c>
      <c r="K947" s="263">
        <f>+SUM(J944:J947)</f>
        <v>3073759994</v>
      </c>
      <c r="L947" s="264">
        <f>M250</f>
        <v>3641936</v>
      </c>
      <c r="M947" s="263">
        <f>+SUM(L944:L947)</f>
        <v>5776210065</v>
      </c>
      <c r="N947" s="264">
        <f>O250</f>
        <v>0</v>
      </c>
      <c r="O947" s="263">
        <f>+SUM(N944:N947)</f>
        <v>0</v>
      </c>
      <c r="P947" s="264">
        <f>Q250</f>
        <v>11868858</v>
      </c>
      <c r="Q947" s="263">
        <f>+SUM(P944:P947)</f>
        <v>2023130499</v>
      </c>
      <c r="R947" s="754">
        <f>S250</f>
        <v>2150500</v>
      </c>
      <c r="S947" s="263">
        <f>+SUM(R944:R947)</f>
        <v>-33838955</v>
      </c>
      <c r="T947" s="264">
        <f>U250</f>
        <v>9434324</v>
      </c>
      <c r="U947" s="263">
        <f>+SUM(T944:T947)</f>
        <v>12008348129</v>
      </c>
      <c r="V947" s="264">
        <f>W250</f>
        <v>24092154</v>
      </c>
      <c r="W947" s="263">
        <f>+SUM(V944:V947)</f>
        <v>98816954</v>
      </c>
      <c r="X947" s="264">
        <f>Y250</f>
        <v>569853</v>
      </c>
      <c r="Y947" s="263">
        <f>+SUM(X944:X947)</f>
        <v>111081564</v>
      </c>
      <c r="Z947" s="264">
        <f>AA250</f>
        <v>9731469</v>
      </c>
      <c r="AA947" s="263">
        <f>+SUM(Z944:Z947)</f>
        <v>1514992174</v>
      </c>
      <c r="AB947" s="264">
        <f>AC250</f>
        <v>0</v>
      </c>
      <c r="AC947" s="263">
        <f>+SUM(AB944:AB947)</f>
        <v>0</v>
      </c>
      <c r="AD947" s="264">
        <f>AE250</f>
        <v>12832624</v>
      </c>
      <c r="AE947" s="263">
        <f>+SUM(AD944:AD947)</f>
        <v>1343971365</v>
      </c>
      <c r="AF947" s="264">
        <f>AG250</f>
        <v>13937723</v>
      </c>
      <c r="AG947" s="263">
        <f>+SUM(AF944:AF947)</f>
        <v>3126853028</v>
      </c>
      <c r="AH947" s="264">
        <f>AI250</f>
        <v>3022363</v>
      </c>
      <c r="AI947" s="263">
        <f>+SUM(AH944:AH947)</f>
        <v>-8043144</v>
      </c>
    </row>
    <row r="948" spans="2:35" ht="12" thickBot="1">
      <c r="B948" s="262"/>
      <c r="C948" s="471"/>
      <c r="D948" s="264"/>
      <c r="E948" s="265"/>
      <c r="F948" s="269"/>
      <c r="G948" s="263"/>
      <c r="H948" s="269"/>
      <c r="I948" s="263"/>
      <c r="J948" s="269"/>
      <c r="K948" s="263"/>
      <c r="L948" s="269"/>
      <c r="M948" s="263"/>
      <c r="N948" s="269"/>
      <c r="O948" s="263"/>
      <c r="P948" s="269"/>
      <c r="Q948" s="263"/>
      <c r="R948" s="269"/>
      <c r="S948" s="263"/>
      <c r="T948" s="269"/>
      <c r="U948" s="263"/>
      <c r="V948" s="269"/>
      <c r="W948" s="263"/>
      <c r="X948" s="269"/>
      <c r="Y948" s="263"/>
      <c r="Z948" s="269"/>
      <c r="AA948" s="263"/>
      <c r="AB948" s="269"/>
      <c r="AC948" s="263"/>
      <c r="AD948" s="269"/>
      <c r="AE948" s="263"/>
      <c r="AF948" s="269"/>
      <c r="AG948" s="263"/>
      <c r="AH948" s="269"/>
      <c r="AI948" s="263"/>
    </row>
    <row r="949" spans="2:35" ht="12" thickBot="1">
      <c r="B949" s="473" t="s">
        <v>661</v>
      </c>
      <c r="C949" s="474"/>
      <c r="D949" s="270"/>
      <c r="E949" s="460">
        <f>+SUM(E930:E948)</f>
        <v>47090961867</v>
      </c>
      <c r="F949" s="270"/>
      <c r="G949" s="271">
        <f>+SUM(G930:G948)</f>
        <v>16157186246</v>
      </c>
      <c r="H949" s="270"/>
      <c r="I949" s="271">
        <f>+SUM(I930:I948)</f>
        <v>531951193</v>
      </c>
      <c r="J949" s="270"/>
      <c r="K949" s="271">
        <f>+SUM(K930:K948)</f>
        <v>3095585727</v>
      </c>
      <c r="L949" s="270"/>
      <c r="M949" s="271">
        <f>+SUM(M930:M948)</f>
        <v>5809851144</v>
      </c>
      <c r="N949" s="270"/>
      <c r="O949" s="271">
        <f>+SUM(O930:O948)</f>
        <v>0</v>
      </c>
      <c r="P949" s="270"/>
      <c r="Q949" s="271">
        <f>+SUM(Q930:Q948)</f>
        <v>2174185491</v>
      </c>
      <c r="R949" s="270"/>
      <c r="S949" s="271">
        <f>+SUM(S930:S948)</f>
        <v>29967684</v>
      </c>
      <c r="T949" s="270"/>
      <c r="U949" s="271">
        <f>+SUM(U930:U948)</f>
        <v>12221487789</v>
      </c>
      <c r="V949" s="270"/>
      <c r="W949" s="271">
        <f>+SUM(W930:W948)</f>
        <v>261249269</v>
      </c>
      <c r="X949" s="270"/>
      <c r="Y949" s="271">
        <f>+SUM(Y930:Y948)</f>
        <v>132480335</v>
      </c>
      <c r="Z949" s="270"/>
      <c r="AA949" s="271">
        <f>+SUM(AA930:AA948)</f>
        <v>1802451888</v>
      </c>
      <c r="AB949" s="270"/>
      <c r="AC949" s="271">
        <f>+SUM(AC930:AC948)</f>
        <v>0</v>
      </c>
      <c r="AD949" s="270"/>
      <c r="AE949" s="271">
        <f>+SUM(AE930:AE948)</f>
        <v>1482703339</v>
      </c>
      <c r="AF949" s="270"/>
      <c r="AG949" s="271">
        <f>+SUM(AG930:AG948)</f>
        <v>3380090232</v>
      </c>
      <c r="AH949" s="270"/>
      <c r="AI949" s="271">
        <f>+SUM(AI930:AI948)</f>
        <v>11771530</v>
      </c>
    </row>
    <row r="950" spans="2:35">
      <c r="B950" s="475" t="s">
        <v>662</v>
      </c>
      <c r="C950" s="471"/>
      <c r="D950" s="260"/>
      <c r="E950" s="261"/>
      <c r="F950" s="260"/>
      <c r="G950" s="261"/>
      <c r="H950" s="260"/>
      <c r="I950" s="261"/>
      <c r="J950" s="260"/>
      <c r="K950" s="261"/>
      <c r="L950" s="260"/>
      <c r="M950" s="261"/>
      <c r="N950" s="260"/>
      <c r="O950" s="261"/>
      <c r="P950" s="260"/>
      <c r="Q950" s="261"/>
      <c r="R950" s="260"/>
      <c r="S950" s="261"/>
      <c r="T950" s="260"/>
      <c r="U950" s="261"/>
      <c r="V950" s="260"/>
      <c r="W950" s="261"/>
      <c r="X950" s="260"/>
      <c r="Y950" s="261"/>
      <c r="Z950" s="260"/>
      <c r="AA950" s="261"/>
      <c r="AB950" s="260"/>
      <c r="AC950" s="261"/>
      <c r="AD950" s="260"/>
      <c r="AE950" s="261"/>
      <c r="AF950" s="260"/>
      <c r="AG950" s="261"/>
      <c r="AH950" s="260"/>
      <c r="AI950" s="261"/>
    </row>
    <row r="951" spans="2:35">
      <c r="B951" s="476" t="s">
        <v>663</v>
      </c>
      <c r="C951" s="471">
        <v>6</v>
      </c>
      <c r="D951" s="262"/>
      <c r="E951" s="263"/>
      <c r="F951" s="262"/>
      <c r="G951" s="263"/>
      <c r="H951" s="262"/>
      <c r="I951" s="263"/>
      <c r="J951" s="262"/>
      <c r="K951" s="263"/>
      <c r="L951" s="262"/>
      <c r="M951" s="263"/>
      <c r="N951" s="262"/>
      <c r="O951" s="263"/>
      <c r="P951" s="262"/>
      <c r="Q951" s="263"/>
      <c r="R951" s="262"/>
      <c r="S951" s="263"/>
      <c r="T951" s="262"/>
      <c r="U951" s="263"/>
      <c r="V951" s="262"/>
      <c r="W951" s="263"/>
      <c r="X951" s="262"/>
      <c r="Y951" s="263"/>
      <c r="Z951" s="262"/>
      <c r="AA951" s="263"/>
      <c r="AB951" s="262"/>
      <c r="AC951" s="263"/>
      <c r="AD951" s="262"/>
      <c r="AE951" s="263"/>
      <c r="AF951" s="262"/>
      <c r="AG951" s="263"/>
      <c r="AH951" s="262"/>
      <c r="AI951" s="263"/>
    </row>
    <row r="952" spans="2:35">
      <c r="B952" s="476" t="s">
        <v>664</v>
      </c>
      <c r="C952" s="477">
        <v>6.1</v>
      </c>
      <c r="D952" s="262"/>
      <c r="E952" s="263"/>
      <c r="F952" s="262"/>
      <c r="G952" s="263"/>
      <c r="H952" s="262"/>
      <c r="I952" s="263"/>
      <c r="J952" s="262"/>
      <c r="K952" s="263"/>
      <c r="L952" s="262"/>
      <c r="M952" s="263"/>
      <c r="N952" s="262"/>
      <c r="O952" s="263"/>
      <c r="P952" s="262"/>
      <c r="Q952" s="263"/>
      <c r="R952" s="262"/>
      <c r="S952" s="263"/>
      <c r="T952" s="262"/>
      <c r="U952" s="263"/>
      <c r="V952" s="262"/>
      <c r="W952" s="263"/>
      <c r="X952" s="262"/>
      <c r="Y952" s="263"/>
      <c r="Z952" s="262"/>
      <c r="AA952" s="263"/>
      <c r="AB952" s="262"/>
      <c r="AC952" s="263"/>
      <c r="AD952" s="262"/>
      <c r="AE952" s="263"/>
      <c r="AF952" s="262"/>
      <c r="AG952" s="263"/>
      <c r="AH952" s="262"/>
      <c r="AI952" s="263"/>
    </row>
    <row r="953" spans="2:35">
      <c r="B953" s="476" t="s">
        <v>665</v>
      </c>
      <c r="C953" s="471" t="s">
        <v>666</v>
      </c>
      <c r="D953" s="262">
        <f>F953+H953+J953+L953+N953+P953+R953+T953+V953+X953+Z953+AB953+AD953+AF953+AH953</f>
        <v>576766960</v>
      </c>
      <c r="E953" s="263"/>
      <c r="F953" s="262">
        <v>31716856</v>
      </c>
      <c r="G953" s="263"/>
      <c r="H953" s="262">
        <v>410395898</v>
      </c>
      <c r="I953" s="263"/>
      <c r="J953" s="262">
        <v>1170255</v>
      </c>
      <c r="K953" s="263"/>
      <c r="L953" s="262">
        <v>2747095</v>
      </c>
      <c r="M953" s="263"/>
      <c r="N953" s="262"/>
      <c r="O953" s="263"/>
      <c r="P953" s="262">
        <v>46875310</v>
      </c>
      <c r="Q953" s="263"/>
      <c r="R953" s="262">
        <v>2623289</v>
      </c>
      <c r="S953" s="263"/>
      <c r="T953" s="262">
        <v>34479237</v>
      </c>
      <c r="U953" s="263"/>
      <c r="V953" s="262">
        <v>8344028</v>
      </c>
      <c r="W953" s="263"/>
      <c r="X953" s="262">
        <v>7450215</v>
      </c>
      <c r="Y953" s="263"/>
      <c r="Z953" s="262">
        <f>15410138-Z954</f>
        <v>15273907</v>
      </c>
      <c r="AA953" s="263"/>
      <c r="AB953" s="262"/>
      <c r="AC953" s="263"/>
      <c r="AD953" s="262">
        <v>13031144</v>
      </c>
      <c r="AE953" s="263"/>
      <c r="AF953" s="262">
        <v>1455038</v>
      </c>
      <c r="AG953" s="263"/>
      <c r="AH953" s="262">
        <v>1204688</v>
      </c>
      <c r="AI953" s="263"/>
    </row>
    <row r="954" spans="2:35">
      <c r="B954" s="476" t="s">
        <v>667</v>
      </c>
      <c r="C954" s="471" t="s">
        <v>668</v>
      </c>
      <c r="D954" s="262">
        <f t="shared" ref="D954:D960" si="66">F954+H954+J954+L954+N954+P954+R954+T954+V954+X954+Z954+AB954+AD954+AF954+AH954</f>
        <v>1468066</v>
      </c>
      <c r="E954" s="263"/>
      <c r="F954" s="262">
        <v>1331835</v>
      </c>
      <c r="G954" s="263"/>
      <c r="H954" s="262"/>
      <c r="I954" s="263"/>
      <c r="J954" s="262"/>
      <c r="K954" s="263"/>
      <c r="L954" s="262"/>
      <c r="M954" s="263"/>
      <c r="N954" s="262"/>
      <c r="O954" s="263"/>
      <c r="P954" s="262"/>
      <c r="Q954" s="263"/>
      <c r="R954" s="262"/>
      <c r="S954" s="263"/>
      <c r="T954" s="262"/>
      <c r="U954" s="263"/>
      <c r="V954" s="262"/>
      <c r="W954" s="263"/>
      <c r="X954" s="262"/>
      <c r="Y954" s="263"/>
      <c r="Z954" s="262">
        <v>136231</v>
      </c>
      <c r="AA954" s="263"/>
      <c r="AB954" s="262"/>
      <c r="AC954" s="263"/>
      <c r="AD954" s="262"/>
      <c r="AE954" s="263"/>
      <c r="AF954" s="262"/>
      <c r="AG954" s="263"/>
      <c r="AH954" s="262"/>
      <c r="AI954" s="263"/>
    </row>
    <row r="955" spans="2:35">
      <c r="B955" s="476" t="s">
        <v>669</v>
      </c>
      <c r="C955" s="471" t="s">
        <v>670</v>
      </c>
      <c r="D955" s="262">
        <f t="shared" si="66"/>
        <v>49045</v>
      </c>
      <c r="E955" s="263"/>
      <c r="F955" s="262"/>
      <c r="G955" s="263"/>
      <c r="H955" s="262"/>
      <c r="I955" s="263"/>
      <c r="J955" s="262"/>
      <c r="K955" s="263"/>
      <c r="L955" s="262"/>
      <c r="M955" s="263"/>
      <c r="N955" s="262"/>
      <c r="O955" s="263"/>
      <c r="P955" s="262"/>
      <c r="Q955" s="263"/>
      <c r="R955" s="262"/>
      <c r="S955" s="263"/>
      <c r="T955" s="262"/>
      <c r="U955" s="263"/>
      <c r="V955" s="262"/>
      <c r="W955" s="263"/>
      <c r="X955" s="262">
        <v>49045</v>
      </c>
      <c r="Y955" s="263"/>
      <c r="Z955" s="262"/>
      <c r="AA955" s="263"/>
      <c r="AB955" s="262"/>
      <c r="AC955" s="263"/>
      <c r="AD955" s="262"/>
      <c r="AE955" s="263"/>
      <c r="AF955" s="262"/>
      <c r="AG955" s="263"/>
      <c r="AH955" s="262"/>
      <c r="AI955" s="263"/>
    </row>
    <row r="956" spans="2:35">
      <c r="B956" s="476" t="s">
        <v>671</v>
      </c>
      <c r="C956" s="471" t="s">
        <v>672</v>
      </c>
      <c r="D956" s="262">
        <f t="shared" si="66"/>
        <v>0</v>
      </c>
      <c r="E956" s="263"/>
      <c r="F956" s="262"/>
      <c r="G956" s="263"/>
      <c r="H956" s="262"/>
      <c r="I956" s="263"/>
      <c r="J956" s="262"/>
      <c r="K956" s="263"/>
      <c r="L956" s="262"/>
      <c r="M956" s="263"/>
      <c r="N956" s="262"/>
      <c r="O956" s="263"/>
      <c r="P956" s="262"/>
      <c r="Q956" s="263"/>
      <c r="R956" s="262"/>
      <c r="S956" s="263"/>
      <c r="T956" s="262"/>
      <c r="U956" s="263"/>
      <c r="V956" s="262"/>
      <c r="W956" s="263"/>
      <c r="X956" s="262"/>
      <c r="Y956" s="263"/>
      <c r="Z956" s="262"/>
      <c r="AA956" s="263"/>
      <c r="AB956" s="262"/>
      <c r="AC956" s="263"/>
      <c r="AD956" s="262"/>
      <c r="AE956" s="263"/>
      <c r="AF956" s="262"/>
      <c r="AG956" s="263"/>
      <c r="AH956" s="262"/>
      <c r="AI956" s="263"/>
    </row>
    <row r="957" spans="2:35">
      <c r="B957" s="476" t="s">
        <v>673</v>
      </c>
      <c r="C957" s="471">
        <v>6.2</v>
      </c>
      <c r="D957" s="262">
        <f t="shared" si="66"/>
        <v>4456573320</v>
      </c>
      <c r="E957" s="263"/>
      <c r="F957" s="262">
        <f>G302</f>
        <v>4420263927</v>
      </c>
      <c r="G957" s="263"/>
      <c r="H957" s="262">
        <f>I302</f>
        <v>0</v>
      </c>
      <c r="I957" s="263"/>
      <c r="J957" s="262">
        <f>K302</f>
        <v>0</v>
      </c>
      <c r="K957" s="263"/>
      <c r="L957" s="262">
        <f>M302</f>
        <v>0</v>
      </c>
      <c r="M957" s="263"/>
      <c r="N957" s="262">
        <f>O302</f>
        <v>0</v>
      </c>
      <c r="O957" s="263"/>
      <c r="P957" s="262">
        <f>E261</f>
        <v>36309393</v>
      </c>
      <c r="Q957" s="263"/>
      <c r="R957" s="262">
        <f>S302</f>
        <v>0</v>
      </c>
      <c r="S957" s="263"/>
      <c r="T957" s="262">
        <f>U302</f>
        <v>0</v>
      </c>
      <c r="U957" s="263"/>
      <c r="V957" s="262">
        <f>W302</f>
        <v>0</v>
      </c>
      <c r="W957" s="263"/>
      <c r="X957" s="262">
        <f>Y302</f>
        <v>0</v>
      </c>
      <c r="Y957" s="263"/>
      <c r="Z957" s="262">
        <f>AA302</f>
        <v>0</v>
      </c>
      <c r="AA957" s="263"/>
      <c r="AB957" s="262">
        <f>AC302</f>
        <v>0</v>
      </c>
      <c r="AC957" s="263"/>
      <c r="AD957" s="262">
        <f>AE302</f>
        <v>0</v>
      </c>
      <c r="AE957" s="263"/>
      <c r="AF957" s="262">
        <f>AG302</f>
        <v>0</v>
      </c>
      <c r="AG957" s="263"/>
      <c r="AH957" s="262">
        <f>AI302</f>
        <v>0</v>
      </c>
      <c r="AI957" s="263"/>
    </row>
    <row r="958" spans="2:35">
      <c r="B958" s="476" t="s">
        <v>674</v>
      </c>
      <c r="C958" s="471">
        <v>6.3</v>
      </c>
      <c r="D958" s="262">
        <f t="shared" si="66"/>
        <v>2278970000</v>
      </c>
      <c r="E958" s="263"/>
      <c r="F958" s="262">
        <f>F319</f>
        <v>2278970000</v>
      </c>
      <c r="G958" s="263"/>
      <c r="H958" s="262">
        <v>0</v>
      </c>
      <c r="I958" s="263"/>
      <c r="J958" s="262">
        <f>H319</f>
        <v>0</v>
      </c>
      <c r="K958" s="263"/>
      <c r="L958" s="262">
        <f>J319</f>
        <v>0</v>
      </c>
      <c r="M958" s="263"/>
      <c r="N958" s="262">
        <f>L319</f>
        <v>0</v>
      </c>
      <c r="O958" s="263"/>
      <c r="P958" s="262">
        <f>N319</f>
        <v>0</v>
      </c>
      <c r="Q958" s="263"/>
      <c r="R958" s="262">
        <f>P319</f>
        <v>0</v>
      </c>
      <c r="S958" s="263"/>
      <c r="T958" s="262">
        <f>R319</f>
        <v>0</v>
      </c>
      <c r="U958" s="263"/>
      <c r="V958" s="262">
        <f>T319</f>
        <v>0</v>
      </c>
      <c r="W958" s="263"/>
      <c r="X958" s="262">
        <f>V319</f>
        <v>0</v>
      </c>
      <c r="Y958" s="263"/>
      <c r="Z958" s="262">
        <f>X319</f>
        <v>0</v>
      </c>
      <c r="AA958" s="263"/>
      <c r="AB958" s="262">
        <f>Z319</f>
        <v>0</v>
      </c>
      <c r="AC958" s="263"/>
      <c r="AD958" s="262">
        <f>AB319</f>
        <v>0</v>
      </c>
      <c r="AE958" s="263"/>
      <c r="AF958" s="262">
        <f>AD319</f>
        <v>0</v>
      </c>
      <c r="AG958" s="263"/>
      <c r="AH958" s="262">
        <f>AF319</f>
        <v>0</v>
      </c>
      <c r="AI958" s="263"/>
    </row>
    <row r="959" spans="2:35">
      <c r="B959" s="476" t="s">
        <v>675</v>
      </c>
      <c r="C959" s="471">
        <v>6.4</v>
      </c>
      <c r="D959" s="262">
        <f t="shared" si="66"/>
        <v>940593623</v>
      </c>
      <c r="E959" s="263"/>
      <c r="F959" s="262">
        <f>G361</f>
        <v>358581320</v>
      </c>
      <c r="G959" s="263"/>
      <c r="H959" s="262">
        <f>I361</f>
        <v>28864994</v>
      </c>
      <c r="I959" s="263"/>
      <c r="J959" s="262">
        <f>K361</f>
        <v>4303192</v>
      </c>
      <c r="K959" s="263"/>
      <c r="L959" s="262">
        <f>M361</f>
        <v>9245748</v>
      </c>
      <c r="M959" s="263"/>
      <c r="N959" s="262">
        <f>O361</f>
        <v>0</v>
      </c>
      <c r="O959" s="263"/>
      <c r="P959" s="262">
        <f>Q361</f>
        <v>116467714</v>
      </c>
      <c r="Q959" s="263"/>
      <c r="R959" s="262">
        <f>S361</f>
        <v>4455849</v>
      </c>
      <c r="S959" s="263"/>
      <c r="T959" s="262">
        <f>U361</f>
        <v>79242805</v>
      </c>
      <c r="U959" s="263"/>
      <c r="V959" s="262">
        <f>W361</f>
        <v>15068826</v>
      </c>
      <c r="W959" s="263"/>
      <c r="X959" s="262">
        <f>Y361</f>
        <v>2071150</v>
      </c>
      <c r="Y959" s="263"/>
      <c r="Z959" s="262">
        <f>AA361</f>
        <v>144693036</v>
      </c>
      <c r="AA959" s="263"/>
      <c r="AB959" s="262">
        <f>AC361</f>
        <v>0</v>
      </c>
      <c r="AC959" s="263"/>
      <c r="AD959" s="262">
        <f>AE361</f>
        <v>18303823</v>
      </c>
      <c r="AE959" s="263"/>
      <c r="AF959" s="262">
        <f>AG361</f>
        <v>156635994</v>
      </c>
      <c r="AG959" s="263"/>
      <c r="AH959" s="262">
        <f>AI361</f>
        <v>2659172</v>
      </c>
      <c r="AI959" s="263"/>
    </row>
    <row r="960" spans="2:35" ht="12" thickBot="1">
      <c r="B960" s="476" t="s">
        <v>676</v>
      </c>
      <c r="C960" s="471">
        <v>6.5</v>
      </c>
      <c r="D960" s="264">
        <f t="shared" si="66"/>
        <v>8325338</v>
      </c>
      <c r="E960" s="265">
        <f>+SUM(D952:D960)</f>
        <v>8262746352</v>
      </c>
      <c r="F960" s="264">
        <f>G382</f>
        <v>-2185120</v>
      </c>
      <c r="G960" s="265">
        <f>+SUM(F952:F960)</f>
        <v>7088678818</v>
      </c>
      <c r="H960" s="264">
        <f>I382</f>
        <v>0</v>
      </c>
      <c r="I960" s="265">
        <f>+SUM(H952:H960)</f>
        <v>439260892</v>
      </c>
      <c r="J960" s="264">
        <f>K382</f>
        <v>0</v>
      </c>
      <c r="K960" s="265">
        <f>+SUM(J952:J960)</f>
        <v>5473447</v>
      </c>
      <c r="L960" s="264">
        <f>M382</f>
        <v>0</v>
      </c>
      <c r="M960" s="265">
        <f>+SUM(L952:L960)</f>
        <v>11992843</v>
      </c>
      <c r="N960" s="264">
        <f>O382</f>
        <v>0</v>
      </c>
      <c r="O960" s="265">
        <f>+SUM(N952:N960)</f>
        <v>0</v>
      </c>
      <c r="P960" s="264">
        <f>Q382</f>
        <v>0</v>
      </c>
      <c r="Q960" s="265">
        <f>+SUM(P952:P960)</f>
        <v>199652417</v>
      </c>
      <c r="R960" s="264">
        <f>S382</f>
        <v>0</v>
      </c>
      <c r="S960" s="265">
        <f>+SUM(R952:R960)</f>
        <v>7079138</v>
      </c>
      <c r="T960" s="264">
        <f>U382</f>
        <v>0</v>
      </c>
      <c r="U960" s="265">
        <f>+SUM(T952:T960)</f>
        <v>113722042</v>
      </c>
      <c r="V960" s="264">
        <f>W382</f>
        <v>0</v>
      </c>
      <c r="W960" s="265">
        <f>+SUM(V952:V960)</f>
        <v>23412854</v>
      </c>
      <c r="X960" s="264">
        <f>Y382</f>
        <v>0</v>
      </c>
      <c r="Y960" s="265">
        <f>+SUM(X952:X960)</f>
        <v>9570410</v>
      </c>
      <c r="Z960" s="264">
        <f>AA382</f>
        <v>10510458</v>
      </c>
      <c r="AA960" s="265">
        <f>+SUM(Z952:Z960)</f>
        <v>170613632</v>
      </c>
      <c r="AB960" s="264">
        <f>AC382</f>
        <v>0</v>
      </c>
      <c r="AC960" s="265">
        <f>+SUM(AB952:AB960)</f>
        <v>0</v>
      </c>
      <c r="AD960" s="264">
        <f>AE382</f>
        <v>0</v>
      </c>
      <c r="AE960" s="265">
        <f>+SUM(AD952:AD960)</f>
        <v>31334967</v>
      </c>
      <c r="AF960" s="264">
        <f>AG382</f>
        <v>0</v>
      </c>
      <c r="AG960" s="265">
        <f>+SUM(AF952:AF960)</f>
        <v>158091032</v>
      </c>
      <c r="AH960" s="264">
        <f>AI382</f>
        <v>0</v>
      </c>
      <c r="AI960" s="265">
        <f>+SUM(AH952:AH960)</f>
        <v>3863860</v>
      </c>
    </row>
    <row r="961" spans="1:35">
      <c r="B961" s="476"/>
      <c r="C961" s="471"/>
      <c r="D961" s="260"/>
      <c r="E961" s="261"/>
      <c r="F961" s="260"/>
      <c r="G961" s="261"/>
      <c r="H961" s="260"/>
      <c r="I961" s="261"/>
      <c r="J961" s="260"/>
      <c r="K961" s="261"/>
      <c r="L961" s="260"/>
      <c r="M961" s="261"/>
      <c r="N961" s="260"/>
      <c r="O961" s="261"/>
      <c r="P961" s="260"/>
      <c r="Q961" s="261"/>
      <c r="R961" s="260"/>
      <c r="S961" s="261"/>
      <c r="T961" s="260"/>
      <c r="U961" s="261"/>
      <c r="V961" s="260"/>
      <c r="W961" s="261"/>
      <c r="X961" s="260"/>
      <c r="Y961" s="261"/>
      <c r="Z961" s="260"/>
      <c r="AA961" s="261"/>
      <c r="AB961" s="260"/>
      <c r="AC961" s="261"/>
      <c r="AD961" s="260"/>
      <c r="AE961" s="261"/>
      <c r="AF961" s="260"/>
      <c r="AG961" s="261"/>
      <c r="AH961" s="260"/>
      <c r="AI961" s="261"/>
    </row>
    <row r="962" spans="1:35">
      <c r="B962" s="476" t="s">
        <v>677</v>
      </c>
      <c r="C962" s="471">
        <v>7</v>
      </c>
      <c r="D962" s="262"/>
      <c r="E962" s="263"/>
      <c r="F962" s="262"/>
      <c r="G962" s="263"/>
      <c r="H962" s="262"/>
      <c r="I962" s="263"/>
      <c r="J962" s="262"/>
      <c r="K962" s="263"/>
      <c r="L962" s="262"/>
      <c r="M962" s="263"/>
      <c r="N962" s="262"/>
      <c r="O962" s="263"/>
      <c r="P962" s="262"/>
      <c r="Q962" s="263"/>
      <c r="R962" s="262"/>
      <c r="S962" s="263"/>
      <c r="T962" s="262"/>
      <c r="U962" s="263"/>
      <c r="V962" s="262"/>
      <c r="W962" s="263"/>
      <c r="X962" s="262"/>
      <c r="Y962" s="263"/>
      <c r="Z962" s="262"/>
      <c r="AA962" s="263"/>
      <c r="AB962" s="262"/>
      <c r="AC962" s="263"/>
      <c r="AD962" s="262"/>
      <c r="AE962" s="263"/>
      <c r="AF962" s="262"/>
      <c r="AG962" s="263"/>
      <c r="AH962" s="262"/>
      <c r="AI962" s="263"/>
    </row>
    <row r="963" spans="1:35">
      <c r="B963" s="476" t="s">
        <v>678</v>
      </c>
      <c r="C963" s="471">
        <v>7.1</v>
      </c>
      <c r="D963" s="262">
        <f t="shared" ref="D963:D968" si="67">F963+H963+J963+L963+N963+P963+R963+T963+V963+X963+Z963+AB963+AD963+AF963+AH963</f>
        <v>0</v>
      </c>
      <c r="E963" s="263"/>
      <c r="F963" s="262">
        <f>G407</f>
        <v>0</v>
      </c>
      <c r="G963" s="263"/>
      <c r="H963" s="262">
        <f>I407</f>
        <v>0</v>
      </c>
      <c r="I963" s="263"/>
      <c r="J963" s="262">
        <f>K407</f>
        <v>0</v>
      </c>
      <c r="K963" s="263"/>
      <c r="L963" s="262">
        <f>M407</f>
        <v>0</v>
      </c>
      <c r="M963" s="263"/>
      <c r="N963" s="262">
        <f>O407</f>
        <v>0</v>
      </c>
      <c r="O963" s="263"/>
      <c r="P963" s="262">
        <f>Q407</f>
        <v>0</v>
      </c>
      <c r="Q963" s="263"/>
      <c r="R963" s="262">
        <f>S407</f>
        <v>0</v>
      </c>
      <c r="S963" s="263"/>
      <c r="T963" s="262">
        <f>U407</f>
        <v>0</v>
      </c>
      <c r="U963" s="263"/>
      <c r="V963" s="262">
        <f>W407</f>
        <v>0</v>
      </c>
      <c r="W963" s="263"/>
      <c r="X963" s="262">
        <f>Y407</f>
        <v>0</v>
      </c>
      <c r="Y963" s="263"/>
      <c r="Z963" s="262">
        <f>AA407</f>
        <v>0</v>
      </c>
      <c r="AA963" s="263"/>
      <c r="AB963" s="262">
        <f>AC407</f>
        <v>0</v>
      </c>
      <c r="AC963" s="263"/>
      <c r="AD963" s="262">
        <f>AE407</f>
        <v>0</v>
      </c>
      <c r="AE963" s="263"/>
      <c r="AF963" s="262">
        <f>AG407</f>
        <v>0</v>
      </c>
      <c r="AG963" s="263"/>
      <c r="AH963" s="262">
        <f>AI407</f>
        <v>0</v>
      </c>
      <c r="AI963" s="263"/>
    </row>
    <row r="964" spans="1:35">
      <c r="B964" s="476" t="s">
        <v>679</v>
      </c>
      <c r="C964" s="471">
        <v>7.2</v>
      </c>
      <c r="D964" s="262">
        <f t="shared" si="67"/>
        <v>3194035388</v>
      </c>
      <c r="E964" s="263"/>
      <c r="F964" s="262">
        <f>G427</f>
        <v>783290</v>
      </c>
      <c r="G964" s="263"/>
      <c r="H964" s="262">
        <f>I427</f>
        <v>19619869</v>
      </c>
      <c r="I964" s="263"/>
      <c r="J964" s="262">
        <f>K427</f>
        <v>1207593758</v>
      </c>
      <c r="K964" s="263"/>
      <c r="L964" s="262">
        <f>M427</f>
        <v>28117540</v>
      </c>
      <c r="M964" s="263"/>
      <c r="N964" s="262">
        <f>O427</f>
        <v>0</v>
      </c>
      <c r="O964" s="263"/>
      <c r="P964" s="262">
        <f>Q427</f>
        <v>18465469</v>
      </c>
      <c r="Q964" s="263"/>
      <c r="R964" s="262">
        <f>S427</f>
        <v>8220761</v>
      </c>
      <c r="S964" s="263"/>
      <c r="T964" s="262">
        <f>U427</f>
        <v>991450561</v>
      </c>
      <c r="U964" s="263"/>
      <c r="V964" s="262">
        <f>W427</f>
        <v>24390392</v>
      </c>
      <c r="W964" s="263"/>
      <c r="X964" s="262">
        <f>Y427</f>
        <v>19453979</v>
      </c>
      <c r="Y964" s="263"/>
      <c r="Z964" s="262">
        <f>AA427</f>
        <v>203522997</v>
      </c>
      <c r="AA964" s="263"/>
      <c r="AB964" s="262">
        <f>AC427</f>
        <v>0</v>
      </c>
      <c r="AC964" s="263"/>
      <c r="AD964" s="262">
        <f>AE427</f>
        <v>603012296</v>
      </c>
      <c r="AE964" s="263"/>
      <c r="AF964" s="262">
        <f>AG427</f>
        <v>69404476</v>
      </c>
      <c r="AG964" s="263"/>
      <c r="AH964" s="262">
        <f>AI427</f>
        <v>0</v>
      </c>
      <c r="AI964" s="263"/>
    </row>
    <row r="965" spans="1:35">
      <c r="B965" s="476" t="s">
        <v>680</v>
      </c>
      <c r="C965" s="471">
        <v>7.3</v>
      </c>
      <c r="D965" s="262">
        <f t="shared" si="67"/>
        <v>30350748334</v>
      </c>
      <c r="E965" s="263"/>
      <c r="F965" s="262">
        <f>G465</f>
        <v>19369394856</v>
      </c>
      <c r="G965" s="263"/>
      <c r="H965" s="262">
        <f>I465</f>
        <v>15671184</v>
      </c>
      <c r="I965" s="263"/>
      <c r="J965" s="262">
        <f>K465</f>
        <v>1724378339</v>
      </c>
      <c r="K965" s="263"/>
      <c r="L965" s="262">
        <f>M465</f>
        <v>291147355</v>
      </c>
      <c r="M965" s="263"/>
      <c r="N965" s="262">
        <f>O465</f>
        <v>0</v>
      </c>
      <c r="O965" s="263"/>
      <c r="P965" s="262">
        <f>Q465</f>
        <v>728665469</v>
      </c>
      <c r="Q965" s="263"/>
      <c r="R965" s="262">
        <f>S465</f>
        <v>0</v>
      </c>
      <c r="S965" s="263"/>
      <c r="T965" s="262">
        <f>U465</f>
        <v>3746240945</v>
      </c>
      <c r="U965" s="263"/>
      <c r="V965" s="262">
        <f>W465</f>
        <v>71977705</v>
      </c>
      <c r="W965" s="263"/>
      <c r="X965" s="262">
        <f>Y465</f>
        <v>0</v>
      </c>
      <c r="Y965" s="263"/>
      <c r="Z965" s="262">
        <f>AA465</f>
        <v>1308751073</v>
      </c>
      <c r="AA965" s="263"/>
      <c r="AB965" s="262">
        <f>AC465</f>
        <v>0</v>
      </c>
      <c r="AC965" s="263"/>
      <c r="AD965" s="262">
        <f>AE465</f>
        <v>11369185</v>
      </c>
      <c r="AE965" s="263"/>
      <c r="AF965" s="262">
        <f>AG465</f>
        <v>3083152223</v>
      </c>
      <c r="AG965" s="263"/>
      <c r="AH965" s="262">
        <f>AI465</f>
        <v>0</v>
      </c>
      <c r="AI965" s="263"/>
    </row>
    <row r="966" spans="1:35">
      <c r="B966" s="476" t="s">
        <v>681</v>
      </c>
      <c r="C966" s="471">
        <v>7.4</v>
      </c>
      <c r="D966" s="262">
        <f t="shared" si="67"/>
        <v>1637728197</v>
      </c>
      <c r="E966" s="263"/>
      <c r="F966" s="262">
        <f>G487</f>
        <v>1244692131</v>
      </c>
      <c r="G966" s="263"/>
      <c r="H966" s="262">
        <f>I487</f>
        <v>23385753</v>
      </c>
      <c r="I966" s="263"/>
      <c r="J966" s="262">
        <f>K487</f>
        <v>35213859</v>
      </c>
      <c r="K966" s="263"/>
      <c r="L966" s="262">
        <f>M487</f>
        <v>131958236</v>
      </c>
      <c r="M966" s="263"/>
      <c r="N966" s="262">
        <f>O487</f>
        <v>0</v>
      </c>
      <c r="O966" s="263"/>
      <c r="P966" s="262">
        <f>Q487</f>
        <v>39618891</v>
      </c>
      <c r="Q966" s="263"/>
      <c r="R966" s="262">
        <f>S487</f>
        <v>39512</v>
      </c>
      <c r="S966" s="263"/>
      <c r="T966" s="262">
        <f>U487</f>
        <v>1141694</v>
      </c>
      <c r="U966" s="263"/>
      <c r="V966" s="262">
        <f>W487</f>
        <v>42928989</v>
      </c>
      <c r="W966" s="263"/>
      <c r="X966" s="262">
        <f>Y487</f>
        <v>53783686</v>
      </c>
      <c r="Y966" s="263"/>
      <c r="Z966" s="262">
        <f>AA487</f>
        <v>38512</v>
      </c>
      <c r="AA966" s="263"/>
      <c r="AB966" s="262">
        <f>AC487</f>
        <v>0</v>
      </c>
      <c r="AC966" s="263"/>
      <c r="AD966" s="262">
        <f>AE487</f>
        <v>14724434</v>
      </c>
      <c r="AE966" s="263"/>
      <c r="AF966" s="262">
        <f>AG487</f>
        <v>49283101</v>
      </c>
      <c r="AG966" s="263"/>
      <c r="AH966" s="262">
        <f>AI487</f>
        <v>919399</v>
      </c>
      <c r="AI966" s="263"/>
    </row>
    <row r="967" spans="1:35">
      <c r="A967" s="301" t="s">
        <v>371</v>
      </c>
      <c r="B967" s="476" t="s">
        <v>682</v>
      </c>
      <c r="C967" s="471">
        <v>7.5</v>
      </c>
      <c r="D967" s="262">
        <f t="shared" si="67"/>
        <v>12878902093</v>
      </c>
      <c r="E967" s="263"/>
      <c r="F967" s="262">
        <f>G521</f>
        <v>859648620</v>
      </c>
      <c r="G967" s="263"/>
      <c r="H967" s="262">
        <f>I521</f>
        <v>34013495</v>
      </c>
      <c r="I967" s="263"/>
      <c r="J967" s="262">
        <f>K521</f>
        <v>122926324</v>
      </c>
      <c r="K967" s="263"/>
      <c r="L967" s="262">
        <f>M521</f>
        <v>3807586186</v>
      </c>
      <c r="M967" s="263"/>
      <c r="N967" s="262">
        <f>O521</f>
        <v>0</v>
      </c>
      <c r="O967" s="263"/>
      <c r="P967" s="262">
        <f>Q521</f>
        <v>426901169</v>
      </c>
      <c r="Q967" s="263"/>
      <c r="R967" s="262">
        <f>S521</f>
        <v>14628273</v>
      </c>
      <c r="S967" s="263"/>
      <c r="T967" s="262">
        <f>U521</f>
        <v>7348814835</v>
      </c>
      <c r="U967" s="263"/>
      <c r="V967" s="262">
        <f>W521</f>
        <v>36829681</v>
      </c>
      <c r="W967" s="263"/>
      <c r="X967" s="262">
        <f>Y521</f>
        <v>6756344</v>
      </c>
      <c r="Y967" s="263"/>
      <c r="Z967" s="262">
        <f>AA521</f>
        <v>119525674</v>
      </c>
      <c r="AA967" s="263"/>
      <c r="AB967" s="262">
        <f>AC521</f>
        <v>0</v>
      </c>
      <c r="AC967" s="263"/>
      <c r="AD967" s="262">
        <f>AE521</f>
        <v>74123821</v>
      </c>
      <c r="AE967" s="263"/>
      <c r="AF967" s="262">
        <f>AG521</f>
        <v>20159400</v>
      </c>
      <c r="AG967" s="263"/>
      <c r="AH967" s="262">
        <f>AI521</f>
        <v>6988271</v>
      </c>
      <c r="AI967" s="263"/>
    </row>
    <row r="968" spans="1:35" ht="12" thickBot="1">
      <c r="B968" s="467" t="s">
        <v>683</v>
      </c>
      <c r="C968" s="471">
        <v>7.6</v>
      </c>
      <c r="D968" s="264">
        <f t="shared" si="67"/>
        <v>3184811960</v>
      </c>
      <c r="E968" s="265">
        <f>+SUM(D963:D968)</f>
        <v>51246225972</v>
      </c>
      <c r="F968" s="264">
        <f>G534</f>
        <v>11998988</v>
      </c>
      <c r="G968" s="265">
        <f>+SUM(F963:F968)</f>
        <v>21486517885</v>
      </c>
      <c r="H968" s="264">
        <f>I534</f>
        <v>0</v>
      </c>
      <c r="I968" s="265">
        <f>+SUM(H963:H968)</f>
        <v>92690301</v>
      </c>
      <c r="J968" s="264">
        <f>K534</f>
        <v>0</v>
      </c>
      <c r="K968" s="265">
        <f>+SUM(J963:J968)</f>
        <v>3090112280</v>
      </c>
      <c r="L968" s="264">
        <f>M534</f>
        <v>1539048984</v>
      </c>
      <c r="M968" s="265">
        <f>+SUM(L963:L968)</f>
        <v>5797858301</v>
      </c>
      <c r="N968" s="264">
        <f>O534</f>
        <v>0</v>
      </c>
      <c r="O968" s="265">
        <f>+SUM(N963:N968)</f>
        <v>0</v>
      </c>
      <c r="P968" s="264">
        <f>Q534</f>
        <v>760882076</v>
      </c>
      <c r="Q968" s="265">
        <f>+SUM(P963:P968)</f>
        <v>1974533074</v>
      </c>
      <c r="R968" s="264">
        <f>S534</f>
        <v>0</v>
      </c>
      <c r="S968" s="265">
        <f>+SUM(R963:R968)</f>
        <v>22888546</v>
      </c>
      <c r="T968" s="264">
        <f>U534</f>
        <v>20117712</v>
      </c>
      <c r="U968" s="265">
        <f>+SUM(T963:T968)</f>
        <v>12107765747</v>
      </c>
      <c r="V968" s="264">
        <f>W534</f>
        <v>61709648</v>
      </c>
      <c r="W968" s="265">
        <f>+SUM(V963:V968)</f>
        <v>237836415</v>
      </c>
      <c r="X968" s="264">
        <f>Y534</f>
        <v>42915916</v>
      </c>
      <c r="Y968" s="265">
        <f>+SUM(X963:X968)</f>
        <v>122909925</v>
      </c>
      <c r="Z968" s="264">
        <f>AA534</f>
        <v>0</v>
      </c>
      <c r="AA968" s="265">
        <f>+SUM(Z963:Z968)</f>
        <v>1631838256</v>
      </c>
      <c r="AB968" s="264">
        <f>AC534</f>
        <v>0</v>
      </c>
      <c r="AC968" s="265">
        <f>+SUM(AB963:AB968)</f>
        <v>0</v>
      </c>
      <c r="AD968" s="264">
        <f>AE534</f>
        <v>748138636</v>
      </c>
      <c r="AE968" s="265">
        <f>+SUM(AD963:AD968)</f>
        <v>1451368372</v>
      </c>
      <c r="AF968" s="264">
        <f>AG534</f>
        <v>0</v>
      </c>
      <c r="AG968" s="265">
        <f>+SUM(AF963:AF968)</f>
        <v>3221999200</v>
      </c>
      <c r="AH968" s="264">
        <f>AI534</f>
        <v>0</v>
      </c>
      <c r="AI968" s="265">
        <f>+SUM(AH963:AH968)</f>
        <v>7907670</v>
      </c>
    </row>
    <row r="969" spans="1:35" ht="12" thickBot="1">
      <c r="B969" s="262"/>
      <c r="C969" s="471"/>
      <c r="D969" s="269"/>
      <c r="E969" s="263"/>
      <c r="F969" s="269"/>
      <c r="G969" s="263"/>
      <c r="H969" s="269"/>
      <c r="I969" s="263"/>
      <c r="J969" s="269"/>
      <c r="K969" s="263"/>
      <c r="L969" s="269"/>
      <c r="M969" s="263"/>
      <c r="N969" s="269"/>
      <c r="O969" s="263"/>
      <c r="P969" s="269"/>
      <c r="Q969" s="263"/>
      <c r="R969" s="269"/>
      <c r="S969" s="263"/>
      <c r="T969" s="269"/>
      <c r="U969" s="263"/>
      <c r="V969" s="269"/>
      <c r="W969" s="263"/>
      <c r="X969" s="269"/>
      <c r="Y969" s="263"/>
      <c r="Z969" s="269"/>
      <c r="AA969" s="263"/>
      <c r="AB969" s="269"/>
      <c r="AC969" s="263"/>
      <c r="AD969" s="269"/>
      <c r="AE969" s="263"/>
      <c r="AF969" s="269"/>
      <c r="AG969" s="263"/>
      <c r="AH969" s="269"/>
      <c r="AI969" s="263"/>
    </row>
    <row r="970" spans="1:35" ht="12.75" customHeight="1" thickBot="1">
      <c r="B970" s="473" t="s">
        <v>684</v>
      </c>
      <c r="C970" s="460"/>
      <c r="D970" s="270"/>
      <c r="E970" s="271">
        <f>+SUM(E951:E969)</f>
        <v>59508972324</v>
      </c>
      <c r="F970" s="270"/>
      <c r="G970" s="271">
        <f>+SUM(G951:G969)</f>
        <v>28575196703</v>
      </c>
      <c r="H970" s="270"/>
      <c r="I970" s="271">
        <f>+SUM(I951:I969)</f>
        <v>531951193</v>
      </c>
      <c r="J970" s="270"/>
      <c r="K970" s="271">
        <f>+SUM(K951:K969)</f>
        <v>3095585727</v>
      </c>
      <c r="L970" s="270"/>
      <c r="M970" s="271">
        <f>+SUM(M951:M969)</f>
        <v>5809851144</v>
      </c>
      <c r="N970" s="270"/>
      <c r="O970" s="271">
        <f>+SUM(O951:O969)</f>
        <v>0</v>
      </c>
      <c r="P970" s="270"/>
      <c r="Q970" s="271">
        <f>+SUM(Q951:Q969)</f>
        <v>2174185491</v>
      </c>
      <c r="R970" s="270"/>
      <c r="S970" s="271">
        <f>+SUM(S951:S969)</f>
        <v>29967684</v>
      </c>
      <c r="T970" s="270"/>
      <c r="U970" s="271">
        <f>+SUM(U951:U969)</f>
        <v>12221487789</v>
      </c>
      <c r="V970" s="270"/>
      <c r="W970" s="271">
        <f>+SUM(W951:W969)</f>
        <v>261249269</v>
      </c>
      <c r="X970" s="270"/>
      <c r="Y970" s="271">
        <f>+SUM(Y951:Y969)</f>
        <v>132480335</v>
      </c>
      <c r="Z970" s="270"/>
      <c r="AA970" s="271">
        <f>+SUM(AA951:AA969)</f>
        <v>1802451888</v>
      </c>
      <c r="AB970" s="270"/>
      <c r="AC970" s="271">
        <f>+SUM(AC951:AC969)</f>
        <v>0</v>
      </c>
      <c r="AD970" s="270"/>
      <c r="AE970" s="271">
        <f>+SUM(AE951:AE969)</f>
        <v>1482703339</v>
      </c>
      <c r="AF970" s="270"/>
      <c r="AG970" s="271">
        <f>+SUM(AG951:AG969)</f>
        <v>3380090232</v>
      </c>
      <c r="AH970" s="270"/>
      <c r="AI970" s="271">
        <f>+SUM(AI951:AI969)</f>
        <v>11771530</v>
      </c>
    </row>
    <row r="971" spans="1:35" ht="12" customHeight="1" thickBot="1">
      <c r="B971" s="560"/>
      <c r="C971" s="561"/>
      <c r="D971" s="561"/>
      <c r="E971" s="820">
        <f>E949-E970</f>
        <v>-12418010457</v>
      </c>
      <c r="F971" s="561"/>
      <c r="G971" s="816">
        <f>G949-G970</f>
        <v>-12418010457</v>
      </c>
      <c r="H971" s="535"/>
      <c r="I971" s="534">
        <f>I949-I970</f>
        <v>0</v>
      </c>
      <c r="J971" s="535"/>
      <c r="K971" s="534">
        <f>K949-K970</f>
        <v>0</v>
      </c>
      <c r="L971" s="535"/>
      <c r="M971" s="534">
        <f>M949-M970</f>
        <v>0</v>
      </c>
      <c r="N971" s="535"/>
      <c r="O971" s="534">
        <f>O949-O970</f>
        <v>0</v>
      </c>
      <c r="P971" s="535"/>
      <c r="Q971" s="534">
        <f>Q949-Q970</f>
        <v>0</v>
      </c>
      <c r="R971" s="535"/>
      <c r="S971" s="534">
        <f>S949-S970</f>
        <v>0</v>
      </c>
      <c r="T971" s="535"/>
      <c r="U971" s="534">
        <f>U949-U970</f>
        <v>0</v>
      </c>
      <c r="V971" s="535"/>
      <c r="W971" s="534">
        <f>W949-W970</f>
        <v>0</v>
      </c>
      <c r="X971" s="535"/>
      <c r="Y971" s="534">
        <f>Y949-Y970</f>
        <v>0</v>
      </c>
      <c r="Z971" s="535"/>
      <c r="AA971" s="534">
        <f>AA949-AA970</f>
        <v>0</v>
      </c>
      <c r="AB971" s="535"/>
      <c r="AC971" s="534">
        <f>AC949-AC970</f>
        <v>0</v>
      </c>
      <c r="AD971" s="535"/>
      <c r="AE971" s="534">
        <f>AE949-AE970</f>
        <v>0</v>
      </c>
      <c r="AF971" s="535"/>
      <c r="AG971" s="779">
        <f>AG949-AG970</f>
        <v>0</v>
      </c>
      <c r="AH971" s="535"/>
      <c r="AI971" s="534">
        <f>AI949-AI970</f>
        <v>0</v>
      </c>
    </row>
    <row r="972" spans="1:35" ht="12" thickBot="1">
      <c r="B972" s="305"/>
      <c r="C972" s="478"/>
      <c r="D972" s="478"/>
      <c r="E972" s="478"/>
      <c r="F972" s="478"/>
      <c r="G972" s="479"/>
    </row>
    <row r="973" spans="1:35" ht="12" thickBot="1">
      <c r="B973" s="1465" t="s">
        <v>1229</v>
      </c>
      <c r="C973" s="1466"/>
      <c r="D973" s="1466"/>
      <c r="E973" s="1466"/>
      <c r="F973" s="1466"/>
      <c r="G973" s="1467"/>
    </row>
    <row r="974" spans="1:35" ht="12" thickBot="1">
      <c r="B974" s="480"/>
      <c r="C974" s="481"/>
      <c r="D974" s="481"/>
      <c r="E974" s="481"/>
      <c r="F974" s="481"/>
      <c r="G974" s="482"/>
    </row>
    <row r="975" spans="1:35" ht="12" thickBot="1">
      <c r="B975" s="480"/>
      <c r="C975" s="481"/>
      <c r="D975" s="1463" t="s">
        <v>860</v>
      </c>
      <c r="E975" s="1464"/>
      <c r="F975" s="1463" t="s">
        <v>17</v>
      </c>
      <c r="G975" s="1464"/>
      <c r="H975" s="1463" t="s">
        <v>18</v>
      </c>
      <c r="I975" s="1464"/>
      <c r="J975" s="1463" t="s">
        <v>19</v>
      </c>
      <c r="K975" s="1464"/>
      <c r="L975" s="1463" t="s">
        <v>20</v>
      </c>
      <c r="M975" s="1464"/>
      <c r="N975" s="1463" t="s">
        <v>21</v>
      </c>
      <c r="O975" s="1464"/>
      <c r="P975" s="1463" t="s">
        <v>22</v>
      </c>
      <c r="Q975" s="1464"/>
      <c r="R975" s="1463" t="s">
        <v>23</v>
      </c>
      <c r="S975" s="1464"/>
      <c r="T975" s="1463" t="s">
        <v>24</v>
      </c>
      <c r="U975" s="1464"/>
      <c r="V975" s="1463" t="s">
        <v>25</v>
      </c>
      <c r="W975" s="1464"/>
      <c r="X975" s="1463" t="s">
        <v>26</v>
      </c>
      <c r="Y975" s="1464"/>
      <c r="Z975" s="1463" t="s">
        <v>27</v>
      </c>
      <c r="AA975" s="1464"/>
      <c r="AB975" s="1463"/>
      <c r="AC975" s="1464"/>
      <c r="AD975" s="1463" t="s">
        <v>1266</v>
      </c>
      <c r="AE975" s="1464"/>
      <c r="AF975" s="1463" t="s">
        <v>30</v>
      </c>
      <c r="AG975" s="1464"/>
      <c r="AH975" s="1463" t="s">
        <v>31</v>
      </c>
      <c r="AI975" s="1464"/>
    </row>
    <row r="976" spans="1:35" ht="12" thickBot="1">
      <c r="B976" s="467"/>
      <c r="C976" s="265"/>
      <c r="D976" s="303"/>
      <c r="E976" s="483"/>
      <c r="F976" s="303"/>
      <c r="G976" s="304"/>
    </row>
    <row r="977" spans="2:35">
      <c r="B977" s="465" t="s">
        <v>686</v>
      </c>
      <c r="C977" s="482"/>
      <c r="D977" s="260"/>
      <c r="E977" s="261"/>
      <c r="F977" s="260"/>
      <c r="G977" s="261"/>
      <c r="H977" s="260"/>
      <c r="I977" s="261"/>
      <c r="J977" s="260"/>
      <c r="K977" s="261"/>
      <c r="L977" s="260"/>
      <c r="M977" s="261"/>
      <c r="N977" s="260"/>
      <c r="O977" s="261"/>
      <c r="P977" s="260"/>
      <c r="Q977" s="261"/>
      <c r="R977" s="260"/>
      <c r="S977" s="261"/>
      <c r="T977" s="260"/>
      <c r="U977" s="261"/>
      <c r="V977" s="260"/>
      <c r="W977" s="261"/>
      <c r="X977" s="260"/>
      <c r="Y977" s="261"/>
      <c r="Z977" s="260"/>
      <c r="AA977" s="261"/>
      <c r="AB977" s="260"/>
      <c r="AC977" s="261"/>
      <c r="AD977" s="260"/>
      <c r="AE977" s="261"/>
      <c r="AF977" s="260"/>
      <c r="AG977" s="261"/>
      <c r="AH977" s="260"/>
      <c r="AI977" s="261"/>
    </row>
    <row r="978" spans="2:35">
      <c r="B978" s="476" t="s">
        <v>687</v>
      </c>
      <c r="C978" s="470">
        <v>9</v>
      </c>
      <c r="D978" s="262">
        <f>F978+H978+J978+L978+N978+P978+R978+T978+V978+X978+Z978+AB978+AD978+AF978+AH978</f>
        <v>182842827085</v>
      </c>
      <c r="E978" s="263"/>
      <c r="F978" s="262">
        <f>G582</f>
        <v>76834907033</v>
      </c>
      <c r="G978" s="263"/>
      <c r="H978" s="262">
        <f>I582</f>
        <v>2260057838</v>
      </c>
      <c r="I978" s="263"/>
      <c r="J978" s="262">
        <f>K582</f>
        <v>19461285876</v>
      </c>
      <c r="K978" s="263"/>
      <c r="L978" s="262">
        <f>M582</f>
        <v>15120814939</v>
      </c>
      <c r="M978" s="263"/>
      <c r="N978" s="262">
        <f>O582</f>
        <v>0</v>
      </c>
      <c r="O978" s="263"/>
      <c r="P978" s="262">
        <f>Q582</f>
        <v>8246736986</v>
      </c>
      <c r="Q978" s="263"/>
      <c r="R978" s="262">
        <f>S582</f>
        <v>18781435</v>
      </c>
      <c r="S978" s="263"/>
      <c r="T978" s="262">
        <f>U582</f>
        <v>16392555736</v>
      </c>
      <c r="U978" s="263"/>
      <c r="V978" s="262">
        <f>W582</f>
        <v>8485741267</v>
      </c>
      <c r="W978" s="263"/>
      <c r="X978" s="262">
        <f>Y582</f>
        <v>771445072</v>
      </c>
      <c r="Y978" s="263"/>
      <c r="Z978" s="262">
        <f>AA582</f>
        <v>17612250312</v>
      </c>
      <c r="AA978" s="263"/>
      <c r="AB978" s="262">
        <f>AC582</f>
        <v>0</v>
      </c>
      <c r="AC978" s="263"/>
      <c r="AD978" s="262">
        <f>AE582</f>
        <v>10691116329</v>
      </c>
      <c r="AE978" s="263"/>
      <c r="AF978" s="262">
        <f>AG582</f>
        <v>6947134262</v>
      </c>
      <c r="AG978" s="263"/>
      <c r="AH978" s="262">
        <f>AI582</f>
        <v>0</v>
      </c>
      <c r="AI978" s="263"/>
    </row>
    <row r="979" spans="2:35" ht="12" thickBot="1">
      <c r="B979" s="476" t="s">
        <v>688</v>
      </c>
      <c r="C979" s="470" t="s">
        <v>689</v>
      </c>
      <c r="D979" s="264">
        <f>F979+H979+J979+L979+N979+P979+R979+T979+V979+X979+Z979+AB979+AD979+AF979+AH979</f>
        <v>1249911908</v>
      </c>
      <c r="E979" s="265">
        <f>+SUM(D978:D979)</f>
        <v>184092738993</v>
      </c>
      <c r="F979" s="264">
        <f>G607</f>
        <v>372958443</v>
      </c>
      <c r="G979" s="265">
        <f>SUM(F978:F979)</f>
        <v>77207865476</v>
      </c>
      <c r="H979" s="264">
        <f>I607</f>
        <v>4423006</v>
      </c>
      <c r="I979" s="265">
        <f>SUM(H978:H979)</f>
        <v>2264480844</v>
      </c>
      <c r="J979" s="264">
        <f>K607</f>
        <v>5526149</v>
      </c>
      <c r="K979" s="265">
        <f>SUM(J978:J979)</f>
        <v>19466812025</v>
      </c>
      <c r="L979" s="264">
        <f>M607</f>
        <v>17170186</v>
      </c>
      <c r="M979" s="265">
        <f>SUM(L978:L979)</f>
        <v>15137985125</v>
      </c>
      <c r="N979" s="264">
        <f>O607</f>
        <v>0</v>
      </c>
      <c r="O979" s="265">
        <f>SUM(N978:N979)</f>
        <v>0</v>
      </c>
      <c r="P979" s="264">
        <f>Q607</f>
        <v>51787928</v>
      </c>
      <c r="Q979" s="265">
        <f>SUM(P978:P979)</f>
        <v>8298524914</v>
      </c>
      <c r="R979" s="264">
        <f>S607</f>
        <v>12325430</v>
      </c>
      <c r="S979" s="265">
        <f>SUM(R978:R979)</f>
        <v>31106865</v>
      </c>
      <c r="T979" s="264">
        <f>U607</f>
        <v>623514530</v>
      </c>
      <c r="U979" s="265">
        <f>SUM(T978:T979)</f>
        <v>17016070266</v>
      </c>
      <c r="V979" s="264">
        <f>W607</f>
        <v>43804344</v>
      </c>
      <c r="W979" s="265">
        <f>SUM(V978:V979)</f>
        <v>8529545611</v>
      </c>
      <c r="X979" s="264">
        <f>Y607</f>
        <v>5779175</v>
      </c>
      <c r="Y979" s="265">
        <f>SUM(X978:X979)</f>
        <v>777224247</v>
      </c>
      <c r="Z979" s="264">
        <f>AA607</f>
        <v>29490861</v>
      </c>
      <c r="AA979" s="265">
        <f>SUM(Z978:Z979)</f>
        <v>17641741173</v>
      </c>
      <c r="AB979" s="264">
        <f>AC607</f>
        <v>0</v>
      </c>
      <c r="AC979" s="265">
        <f>SUM(AB978:AB979)</f>
        <v>0</v>
      </c>
      <c r="AD979" s="264">
        <f>AE607</f>
        <v>19520071</v>
      </c>
      <c r="AE979" s="265">
        <f>SUM(AD978:AD979)</f>
        <v>10710636400</v>
      </c>
      <c r="AF979" s="264">
        <f>AG607</f>
        <v>63258921</v>
      </c>
      <c r="AG979" s="265">
        <f>SUM(AF978:AF979)</f>
        <v>7010393183</v>
      </c>
      <c r="AH979" s="264">
        <f>AI607</f>
        <v>352864</v>
      </c>
      <c r="AI979" s="265">
        <f>SUM(AH978:AH979)</f>
        <v>352864</v>
      </c>
    </row>
    <row r="980" spans="2:35">
      <c r="B980" s="476" t="s">
        <v>690</v>
      </c>
      <c r="C980" s="470"/>
      <c r="D980" s="262"/>
      <c r="E980" s="263">
        <f>+E979</f>
        <v>184092738993</v>
      </c>
      <c r="F980" s="262"/>
      <c r="G980" s="263">
        <f>G978+G979</f>
        <v>77207865476</v>
      </c>
      <c r="H980" s="262"/>
      <c r="I980" s="263">
        <f>I978+I979</f>
        <v>2264480844</v>
      </c>
      <c r="J980" s="262"/>
      <c r="K980" s="263">
        <f>K978+K979</f>
        <v>19466812025</v>
      </c>
      <c r="L980" s="262"/>
      <c r="M980" s="263">
        <f>M978+M979</f>
        <v>15137985125</v>
      </c>
      <c r="N980" s="262"/>
      <c r="O980" s="263">
        <f>O978+O979</f>
        <v>0</v>
      </c>
      <c r="P980" s="262"/>
      <c r="Q980" s="263">
        <f>Q978+Q979</f>
        <v>8298524914</v>
      </c>
      <c r="R980" s="262"/>
      <c r="S980" s="263">
        <f>S978+S979</f>
        <v>31106865</v>
      </c>
      <c r="T980" s="262"/>
      <c r="U980" s="263">
        <f>U978+U979</f>
        <v>17016070266</v>
      </c>
      <c r="V980" s="262"/>
      <c r="W980" s="263">
        <f>W978+W979</f>
        <v>8529545611</v>
      </c>
      <c r="X980" s="262"/>
      <c r="Y980" s="263">
        <f>Y978+Y979</f>
        <v>777224247</v>
      </c>
      <c r="Z980" s="262"/>
      <c r="AA980" s="263">
        <f>AA978+AA979</f>
        <v>17641741173</v>
      </c>
      <c r="AB980" s="262"/>
      <c r="AC980" s="263">
        <f>AC978+AC979</f>
        <v>0</v>
      </c>
      <c r="AD980" s="262"/>
      <c r="AE980" s="263">
        <f>AE978+AE979</f>
        <v>10710636400</v>
      </c>
      <c r="AF980" s="262"/>
      <c r="AG980" s="263">
        <f>AG978+AG979</f>
        <v>7010393183</v>
      </c>
      <c r="AH980" s="262"/>
      <c r="AI980" s="263">
        <f>AI978+AI979</f>
        <v>352864</v>
      </c>
    </row>
    <row r="981" spans="2:35">
      <c r="B981" s="476"/>
      <c r="C981" s="470"/>
      <c r="D981" s="262"/>
      <c r="E981" s="263"/>
      <c r="F981" s="262"/>
      <c r="G981" s="263"/>
      <c r="H981" s="262"/>
      <c r="I981" s="263"/>
      <c r="J981" s="262"/>
      <c r="K981" s="263"/>
      <c r="L981" s="262"/>
      <c r="M981" s="263"/>
      <c r="N981" s="262"/>
      <c r="O981" s="263"/>
      <c r="P981" s="262"/>
      <c r="Q981" s="263"/>
      <c r="R981" s="262"/>
      <c r="S981" s="263"/>
      <c r="T981" s="262"/>
      <c r="U981" s="263"/>
      <c r="V981" s="262"/>
      <c r="W981" s="263"/>
      <c r="X981" s="262"/>
      <c r="Y981" s="263"/>
      <c r="Z981" s="262"/>
      <c r="AA981" s="263"/>
      <c r="AB981" s="262"/>
      <c r="AC981" s="263"/>
      <c r="AD981" s="262"/>
      <c r="AE981" s="263"/>
      <c r="AF981" s="262"/>
      <c r="AG981" s="263"/>
      <c r="AH981" s="262"/>
      <c r="AI981" s="263"/>
    </row>
    <row r="982" spans="2:35">
      <c r="B982" s="476" t="s">
        <v>691</v>
      </c>
      <c r="C982" s="470"/>
      <c r="D982" s="262"/>
      <c r="E982" s="263"/>
      <c r="F982" s="262"/>
      <c r="G982" s="263"/>
      <c r="H982" s="262"/>
      <c r="I982" s="263"/>
      <c r="J982" s="262"/>
      <c r="K982" s="263"/>
      <c r="L982" s="262"/>
      <c r="M982" s="263"/>
      <c r="N982" s="262"/>
      <c r="O982" s="263"/>
      <c r="P982" s="262"/>
      <c r="Q982" s="263"/>
      <c r="R982" s="262"/>
      <c r="S982" s="263"/>
      <c r="T982" s="262"/>
      <c r="U982" s="263"/>
      <c r="V982" s="262"/>
      <c r="W982" s="263"/>
      <c r="X982" s="262"/>
      <c r="Y982" s="263"/>
      <c r="Z982" s="262"/>
      <c r="AA982" s="263"/>
      <c r="AB982" s="262"/>
      <c r="AC982" s="263"/>
      <c r="AD982" s="262"/>
      <c r="AE982" s="263"/>
      <c r="AF982" s="262"/>
      <c r="AG982" s="263"/>
      <c r="AH982" s="262"/>
      <c r="AI982" s="263"/>
    </row>
    <row r="983" spans="2:35">
      <c r="B983" s="476" t="s">
        <v>692</v>
      </c>
      <c r="C983" s="470" t="s">
        <v>693</v>
      </c>
      <c r="D983" s="262">
        <f t="shared" ref="D983:D989" si="68">F983+H983+J983+L983+N983+P983+R983+T983+V983+X983+Z983+AB983+AD983+AF983+AH983</f>
        <v>1222048456</v>
      </c>
      <c r="E983" s="263"/>
      <c r="F983" s="262">
        <f>G620</f>
        <v>0</v>
      </c>
      <c r="G983" s="263"/>
      <c r="H983" s="262">
        <f>I620</f>
        <v>0</v>
      </c>
      <c r="I983" s="263"/>
      <c r="J983" s="262">
        <f>K620</f>
        <v>0</v>
      </c>
      <c r="K983" s="263"/>
      <c r="L983" s="262">
        <f>M620</f>
        <v>0</v>
      </c>
      <c r="M983" s="263"/>
      <c r="N983" s="262">
        <f>O620</f>
        <v>0</v>
      </c>
      <c r="O983" s="263"/>
      <c r="P983" s="262">
        <f>Q620</f>
        <v>0</v>
      </c>
      <c r="Q983" s="263"/>
      <c r="R983" s="262">
        <f>S620</f>
        <v>0</v>
      </c>
      <c r="S983" s="263"/>
      <c r="T983" s="262">
        <f>U620</f>
        <v>0</v>
      </c>
      <c r="U983" s="263"/>
      <c r="V983" s="262">
        <f>W620</f>
        <v>0</v>
      </c>
      <c r="W983" s="263"/>
      <c r="X983" s="262">
        <f>Y620</f>
        <v>0</v>
      </c>
      <c r="Y983" s="263"/>
      <c r="Z983" s="262">
        <f>AA620</f>
        <v>0</v>
      </c>
      <c r="AA983" s="263"/>
      <c r="AB983" s="262">
        <f>AC620</f>
        <v>0</v>
      </c>
      <c r="AC983" s="263"/>
      <c r="AD983" s="262">
        <f>AE620</f>
        <v>1222048456</v>
      </c>
      <c r="AE983" s="263"/>
      <c r="AF983" s="262">
        <f>AG620</f>
        <v>0</v>
      </c>
      <c r="AG983" s="263"/>
      <c r="AH983" s="262">
        <f>AI620</f>
        <v>0</v>
      </c>
      <c r="AI983" s="263"/>
    </row>
    <row r="984" spans="2:35">
      <c r="B984" s="476" t="s">
        <v>694</v>
      </c>
      <c r="C984" s="470" t="s">
        <v>695</v>
      </c>
      <c r="D984" s="262">
        <f t="shared" si="68"/>
        <v>169760553149</v>
      </c>
      <c r="E984" s="263"/>
      <c r="F984" s="262">
        <f>G652</f>
        <v>76753949790</v>
      </c>
      <c r="G984" s="263"/>
      <c r="H984" s="262">
        <f>I652</f>
        <v>1977109430</v>
      </c>
      <c r="I984" s="263"/>
      <c r="J984" s="262">
        <f>K652</f>
        <v>14269269661</v>
      </c>
      <c r="K984" s="263"/>
      <c r="L984" s="262">
        <f>M652</f>
        <v>13775554654</v>
      </c>
      <c r="M984" s="263"/>
      <c r="N984" s="262">
        <f>O652</f>
        <v>0</v>
      </c>
      <c r="O984" s="263"/>
      <c r="P984" s="262">
        <f>Q652</f>
        <v>7606812745</v>
      </c>
      <c r="Q984" s="263"/>
      <c r="R984" s="262">
        <f>S652</f>
        <v>1112780</v>
      </c>
      <c r="S984" s="263"/>
      <c r="T984" s="262">
        <f>U652</f>
        <v>14786035484</v>
      </c>
      <c r="U984" s="263"/>
      <c r="V984" s="262">
        <f>W652</f>
        <v>7852104373</v>
      </c>
      <c r="W984" s="263"/>
      <c r="X984" s="262">
        <f>Y652</f>
        <v>766910205</v>
      </c>
      <c r="Y984" s="263"/>
      <c r="Z984" s="262">
        <f>AA652</f>
        <v>17357635950</v>
      </c>
      <c r="AA984" s="263"/>
      <c r="AB984" s="262">
        <f>AC652</f>
        <v>0</v>
      </c>
      <c r="AC984" s="263"/>
      <c r="AD984" s="262">
        <f>AE652</f>
        <v>8171803074</v>
      </c>
      <c r="AE984" s="263"/>
      <c r="AF984" s="262">
        <f>AG652</f>
        <v>6442255003</v>
      </c>
      <c r="AG984" s="263"/>
      <c r="AH984" s="262">
        <f>AI652</f>
        <v>0</v>
      </c>
      <c r="AI984" s="263"/>
    </row>
    <row r="985" spans="2:35" ht="21.75">
      <c r="B985" s="484" t="s">
        <v>696</v>
      </c>
      <c r="C985" s="471">
        <v>13</v>
      </c>
      <c r="D985" s="262">
        <f t="shared" si="68"/>
        <v>-284219421</v>
      </c>
      <c r="E985" s="267"/>
      <c r="F985" s="266">
        <f>G672</f>
        <v>-1113227</v>
      </c>
      <c r="G985" s="267"/>
      <c r="H985" s="266">
        <f>I672</f>
        <v>23725272</v>
      </c>
      <c r="I985" s="267"/>
      <c r="J985" s="266">
        <f>K672</f>
        <v>-463984497</v>
      </c>
      <c r="K985" s="267"/>
      <c r="L985" s="266">
        <f>M672</f>
        <v>238658119</v>
      </c>
      <c r="M985" s="267"/>
      <c r="N985" s="266">
        <f>O672</f>
        <v>0</v>
      </c>
      <c r="O985" s="267"/>
      <c r="P985" s="266">
        <f>Q672</f>
        <v>111971732</v>
      </c>
      <c r="Q985" s="267"/>
      <c r="R985" s="266">
        <f>S672</f>
        <v>15011630</v>
      </c>
      <c r="S985" s="267"/>
      <c r="T985" s="266">
        <f>U672</f>
        <v>-193187556</v>
      </c>
      <c r="U985" s="267"/>
      <c r="V985" s="266">
        <f>W672</f>
        <v>35265340</v>
      </c>
      <c r="W985" s="267"/>
      <c r="X985" s="266">
        <f>Y672</f>
        <v>-4115944</v>
      </c>
      <c r="Y985" s="267"/>
      <c r="Z985" s="266">
        <f>AA672</f>
        <v>-242629399</v>
      </c>
      <c r="AA985" s="267"/>
      <c r="AB985" s="266">
        <f>AC672</f>
        <v>0</v>
      </c>
      <c r="AC985" s="267"/>
      <c r="AD985" s="266">
        <f>AE672</f>
        <v>239477195</v>
      </c>
      <c r="AE985" s="267"/>
      <c r="AF985" s="266">
        <f>AG672</f>
        <v>-43298086</v>
      </c>
      <c r="AG985" s="267"/>
      <c r="AH985" s="266">
        <f>AI672</f>
        <v>0</v>
      </c>
      <c r="AI985" s="267"/>
    </row>
    <row r="986" spans="2:35">
      <c r="B986" s="476" t="s">
        <v>702</v>
      </c>
      <c r="C986" s="470">
        <v>14</v>
      </c>
      <c r="D986" s="262">
        <f t="shared" si="68"/>
        <v>1918255630</v>
      </c>
      <c r="E986" s="263"/>
      <c r="F986" s="262">
        <f>G698</f>
        <v>723592035</v>
      </c>
      <c r="G986" s="263"/>
      <c r="H986" s="262">
        <f>I698</f>
        <v>132664752</v>
      </c>
      <c r="I986" s="263"/>
      <c r="J986" s="262">
        <f>K698</f>
        <v>31129796</v>
      </c>
      <c r="K986" s="263"/>
      <c r="L986" s="262">
        <f>M698</f>
        <v>43357170</v>
      </c>
      <c r="M986" s="263"/>
      <c r="N986" s="262">
        <f>O698</f>
        <v>0</v>
      </c>
      <c r="O986" s="263"/>
      <c r="P986" s="262">
        <f>Q698</f>
        <v>163882309</v>
      </c>
      <c r="Q986" s="263"/>
      <c r="R986" s="262">
        <f>S698</f>
        <v>34467921</v>
      </c>
      <c r="S986" s="263"/>
      <c r="T986" s="262">
        <f>U698</f>
        <v>175472525</v>
      </c>
      <c r="U986" s="263"/>
      <c r="V986" s="262">
        <f>W698</f>
        <v>140706634</v>
      </c>
      <c r="W986" s="263"/>
      <c r="X986" s="262">
        <f>Y698</f>
        <v>27914815</v>
      </c>
      <c r="Y986" s="263"/>
      <c r="Z986" s="262">
        <f>AA698</f>
        <v>81567038</v>
      </c>
      <c r="AA986" s="263"/>
      <c r="AB986" s="262">
        <f>AC698</f>
        <v>0</v>
      </c>
      <c r="AC986" s="263"/>
      <c r="AD986" s="262">
        <f>AE698</f>
        <v>159138626</v>
      </c>
      <c r="AE986" s="263"/>
      <c r="AF986" s="262">
        <f>AG698</f>
        <v>171525961</v>
      </c>
      <c r="AG986" s="263"/>
      <c r="AH986" s="262">
        <f>AI698</f>
        <v>32836048</v>
      </c>
      <c r="AI986" s="263"/>
    </row>
    <row r="987" spans="2:35">
      <c r="B987" s="476" t="s">
        <v>703</v>
      </c>
      <c r="C987" s="470" t="s">
        <v>704</v>
      </c>
      <c r="D987" s="262">
        <f t="shared" si="68"/>
        <v>170214269</v>
      </c>
      <c r="E987" s="263"/>
      <c r="F987" s="262">
        <f>G712</f>
        <v>94243853</v>
      </c>
      <c r="G987" s="263"/>
      <c r="H987" s="262">
        <f>I712</f>
        <v>1406720</v>
      </c>
      <c r="I987" s="263"/>
      <c r="J987" s="262">
        <f>K712</f>
        <v>2594515</v>
      </c>
      <c r="K987" s="263"/>
      <c r="L987" s="262">
        <f>M712</f>
        <v>25056812</v>
      </c>
      <c r="M987" s="263"/>
      <c r="N987" s="262">
        <f>O712</f>
        <v>0</v>
      </c>
      <c r="O987" s="263"/>
      <c r="P987" s="262">
        <f>Q712</f>
        <v>8568662</v>
      </c>
      <c r="Q987" s="263"/>
      <c r="R987" s="262">
        <f>S712</f>
        <v>0</v>
      </c>
      <c r="S987" s="263"/>
      <c r="T987" s="262">
        <f>U712</f>
        <v>17835982</v>
      </c>
      <c r="U987" s="263"/>
      <c r="V987" s="262">
        <f>W712</f>
        <v>3158089</v>
      </c>
      <c r="W987" s="263"/>
      <c r="X987" s="262">
        <f>Y712</f>
        <v>5366052</v>
      </c>
      <c r="Y987" s="263"/>
      <c r="Z987" s="262">
        <f>AA712</f>
        <v>364551</v>
      </c>
      <c r="AA987" s="263"/>
      <c r="AB987" s="262">
        <f>AC712</f>
        <v>0</v>
      </c>
      <c r="AC987" s="263"/>
      <c r="AD987" s="262">
        <f>AE712</f>
        <v>3140715</v>
      </c>
      <c r="AE987" s="263"/>
      <c r="AF987" s="262">
        <f>AG712</f>
        <v>8465817</v>
      </c>
      <c r="AG987" s="263"/>
      <c r="AH987" s="262">
        <f>AI712</f>
        <v>12501</v>
      </c>
      <c r="AI987" s="263"/>
    </row>
    <row r="988" spans="2:35">
      <c r="B988" s="476" t="s">
        <v>705</v>
      </c>
      <c r="C988" s="470"/>
      <c r="D988" s="262">
        <f t="shared" si="68"/>
        <v>178168777</v>
      </c>
      <c r="E988" s="263"/>
      <c r="F988" s="262">
        <v>6494165</v>
      </c>
      <c r="G988" s="263"/>
      <c r="H988" s="262">
        <v>29500239</v>
      </c>
      <c r="I988" s="263"/>
      <c r="J988" s="262">
        <v>365316</v>
      </c>
      <c r="K988" s="263"/>
      <c r="L988" s="262">
        <v>548852</v>
      </c>
      <c r="M988" s="263"/>
      <c r="N988" s="262"/>
      <c r="O988" s="263"/>
      <c r="P988" s="262">
        <v>1415257</v>
      </c>
      <c r="Q988" s="263"/>
      <c r="R988" s="262">
        <v>26216073</v>
      </c>
      <c r="S988" s="263"/>
      <c r="T988" s="262">
        <v>25828270</v>
      </c>
      <c r="U988" s="263"/>
      <c r="V988" s="262">
        <v>24231521</v>
      </c>
      <c r="W988" s="263"/>
      <c r="X988" s="262">
        <v>759065</v>
      </c>
      <c r="Y988" s="263"/>
      <c r="Z988" s="262">
        <v>1770498</v>
      </c>
      <c r="AA988" s="263"/>
      <c r="AB988" s="262"/>
      <c r="AC988" s="263"/>
      <c r="AD988" s="262">
        <v>1528561</v>
      </c>
      <c r="AE988" s="263"/>
      <c r="AF988" s="262">
        <v>59493672</v>
      </c>
      <c r="AG988" s="263"/>
      <c r="AH988" s="262">
        <v>17288</v>
      </c>
      <c r="AI988" s="263"/>
    </row>
    <row r="989" spans="2:35" ht="12" thickBot="1">
      <c r="B989" s="476" t="s">
        <v>706</v>
      </c>
      <c r="C989" s="470" t="s">
        <v>707</v>
      </c>
      <c r="D989" s="264">
        <f t="shared" si="68"/>
        <v>10759609297</v>
      </c>
      <c r="E989" s="265">
        <f>+SUM(D983:D989)</f>
        <v>183724630157</v>
      </c>
      <c r="F989" s="264">
        <f>G773</f>
        <v>610799117</v>
      </c>
      <c r="G989" s="265">
        <f>SUM(F983:F989)</f>
        <v>78187965733</v>
      </c>
      <c r="H989" s="264">
        <f>I773</f>
        <v>145824498</v>
      </c>
      <c r="I989" s="265">
        <f>SUM(H983:H989)</f>
        <v>2310230911</v>
      </c>
      <c r="J989" s="264">
        <f>K773</f>
        <v>5605761692</v>
      </c>
      <c r="K989" s="265">
        <f>SUM(J983:J989)</f>
        <v>19445136483</v>
      </c>
      <c r="L989" s="264">
        <f>M773</f>
        <v>928107266</v>
      </c>
      <c r="M989" s="265">
        <f>SUM(L983:L989)</f>
        <v>15011282873</v>
      </c>
      <c r="N989" s="264">
        <f>O773</f>
        <v>0</v>
      </c>
      <c r="O989" s="265">
        <f>SUM(N983:N989)</f>
        <v>0</v>
      </c>
      <c r="P989" s="264">
        <f>Q773</f>
        <v>395987549</v>
      </c>
      <c r="Q989" s="265">
        <f>SUM(P983:P989)</f>
        <v>8288638254</v>
      </c>
      <c r="R989" s="264">
        <f>S773</f>
        <v>3683297</v>
      </c>
      <c r="S989" s="265">
        <f>SUM(R983:R989)</f>
        <v>80491701</v>
      </c>
      <c r="T989" s="264">
        <f>U773</f>
        <v>1226766147</v>
      </c>
      <c r="U989" s="265">
        <f>SUM(T983:T989)</f>
        <v>16038750852</v>
      </c>
      <c r="V989" s="264">
        <f>W773</f>
        <v>494685169</v>
      </c>
      <c r="W989" s="265">
        <f>SUM(V983:V989)</f>
        <v>8550151126</v>
      </c>
      <c r="X989" s="264">
        <f>Y773</f>
        <v>7882498</v>
      </c>
      <c r="Y989" s="265">
        <f>SUM(X983:X989)</f>
        <v>804716691</v>
      </c>
      <c r="Z989" s="264">
        <f>AA773</f>
        <v>101240796</v>
      </c>
      <c r="AA989" s="265">
        <f>SUM(Z983:Z989)</f>
        <v>17299949434</v>
      </c>
      <c r="AB989" s="264">
        <f>AC773</f>
        <v>0</v>
      </c>
      <c r="AC989" s="265">
        <f>SUM(AB983:AB989)</f>
        <v>0</v>
      </c>
      <c r="AD989" s="264">
        <f>AE773</f>
        <v>796146196</v>
      </c>
      <c r="AE989" s="265">
        <f>SUM(AD983:AD989)</f>
        <v>10593282823</v>
      </c>
      <c r="AF989" s="264">
        <f>AG773</f>
        <v>440038355</v>
      </c>
      <c r="AG989" s="265">
        <f>SUM(AF983:AF989)</f>
        <v>7078480722</v>
      </c>
      <c r="AH989" s="264">
        <f>AI773</f>
        <v>2686717</v>
      </c>
      <c r="AI989" s="265">
        <f>SUM(AH983:AH989)</f>
        <v>35552554</v>
      </c>
    </row>
    <row r="990" spans="2:35">
      <c r="B990" s="476" t="s">
        <v>708</v>
      </c>
      <c r="C990" s="470"/>
      <c r="D990" s="260"/>
      <c r="E990" s="261">
        <f>+E989</f>
        <v>183724630157</v>
      </c>
      <c r="F990" s="260"/>
      <c r="G990" s="261">
        <f>SUM(G983:G989)</f>
        <v>78187965733</v>
      </c>
      <c r="H990" s="260"/>
      <c r="I990" s="261">
        <f>SUM(I983:I989)</f>
        <v>2310230911</v>
      </c>
      <c r="J990" s="260"/>
      <c r="K990" s="261">
        <f>SUM(K983:K989)</f>
        <v>19445136483</v>
      </c>
      <c r="L990" s="260"/>
      <c r="M990" s="261">
        <f>SUM(M983:M989)</f>
        <v>15011282873</v>
      </c>
      <c r="N990" s="260"/>
      <c r="O990" s="261">
        <f>SUM(O983:O989)</f>
        <v>0</v>
      </c>
      <c r="P990" s="260"/>
      <c r="Q990" s="261">
        <f>SUM(Q983:Q989)</f>
        <v>8288638254</v>
      </c>
      <c r="R990" s="260"/>
      <c r="S990" s="261">
        <f>SUM(S983:S989)</f>
        <v>80491701</v>
      </c>
      <c r="T990" s="260"/>
      <c r="U990" s="261">
        <f>SUM(U983:U989)</f>
        <v>16038750852</v>
      </c>
      <c r="V990" s="260"/>
      <c r="W990" s="261">
        <f>SUM(W983:W989)</f>
        <v>8550151126</v>
      </c>
      <c r="X990" s="260"/>
      <c r="Y990" s="261">
        <f>SUM(Y983:Y989)</f>
        <v>804716691</v>
      </c>
      <c r="Z990" s="260"/>
      <c r="AA990" s="261">
        <f>SUM(AA983:AA989)</f>
        <v>17299949434</v>
      </c>
      <c r="AB990" s="260"/>
      <c r="AC990" s="261">
        <f>SUM(AC983:AC989)</f>
        <v>0</v>
      </c>
      <c r="AD990" s="260"/>
      <c r="AE990" s="261">
        <f>SUM(AE983:AE989)</f>
        <v>10593282823</v>
      </c>
      <c r="AF990" s="260"/>
      <c r="AG990" s="261">
        <f>SUM(AG983:AG989)</f>
        <v>7078480722</v>
      </c>
      <c r="AH990" s="260"/>
      <c r="AI990" s="261">
        <f>SUM(AI983:AI989)</f>
        <v>35552554</v>
      </c>
    </row>
    <row r="991" spans="2:35" ht="12" thickBot="1">
      <c r="B991" s="476"/>
      <c r="C991" s="470"/>
      <c r="D991" s="262"/>
      <c r="E991" s="265"/>
      <c r="F991" s="262"/>
      <c r="G991" s="265"/>
      <c r="H991" s="262"/>
      <c r="I991" s="265"/>
      <c r="J991" s="262"/>
      <c r="K991" s="265"/>
      <c r="L991" s="262"/>
      <c r="M991" s="265"/>
      <c r="N991" s="262"/>
      <c r="O991" s="265"/>
      <c r="P991" s="262"/>
      <c r="Q991" s="265"/>
      <c r="R991" s="262"/>
      <c r="S991" s="265"/>
      <c r="T991" s="262"/>
      <c r="U991" s="265"/>
      <c r="V991" s="262"/>
      <c r="W991" s="265"/>
      <c r="X991" s="262"/>
      <c r="Y991" s="265"/>
      <c r="Z991" s="262"/>
      <c r="AA991" s="265"/>
      <c r="AB991" s="262"/>
      <c r="AC991" s="265"/>
      <c r="AD991" s="262"/>
      <c r="AE991" s="265"/>
      <c r="AF991" s="262"/>
      <c r="AG991" s="265"/>
      <c r="AH991" s="262"/>
      <c r="AI991" s="265"/>
    </row>
    <row r="992" spans="2:35" ht="21.75">
      <c r="B992" s="461" t="s">
        <v>709</v>
      </c>
      <c r="C992" s="470"/>
      <c r="D992" s="262"/>
      <c r="E992" s="261">
        <f>+E980-E990</f>
        <v>368108836</v>
      </c>
      <c r="F992" s="262"/>
      <c r="G992" s="261">
        <f>+G980-G990</f>
        <v>-980100257</v>
      </c>
      <c r="H992" s="262"/>
      <c r="I992" s="261">
        <f>+I980-I990</f>
        <v>-45750067</v>
      </c>
      <c r="J992" s="262"/>
      <c r="K992" s="261">
        <f>+K980-K990</f>
        <v>21675542</v>
      </c>
      <c r="L992" s="262"/>
      <c r="M992" s="261">
        <f>+M980-M990</f>
        <v>126702252</v>
      </c>
      <c r="N992" s="262"/>
      <c r="O992" s="261">
        <f>+O980-O990</f>
        <v>0</v>
      </c>
      <c r="P992" s="262"/>
      <c r="Q992" s="261">
        <f>+Q980-Q990</f>
        <v>9886660</v>
      </c>
      <c r="R992" s="262"/>
      <c r="S992" s="261">
        <f>+S980-S990</f>
        <v>-49384836</v>
      </c>
      <c r="T992" s="262"/>
      <c r="U992" s="261">
        <f>+U980-U990</f>
        <v>977319414</v>
      </c>
      <c r="V992" s="262"/>
      <c r="W992" s="261">
        <f>+W980-W990</f>
        <v>-20605515</v>
      </c>
      <c r="X992" s="262"/>
      <c r="Y992" s="261">
        <f>+Y980-Y990</f>
        <v>-27492444</v>
      </c>
      <c r="Z992" s="262"/>
      <c r="AA992" s="261">
        <f>+AA980-AA990</f>
        <v>341791739</v>
      </c>
      <c r="AB992" s="262"/>
      <c r="AC992" s="261">
        <f>+AC980-AC990</f>
        <v>0</v>
      </c>
      <c r="AD992" s="262"/>
      <c r="AE992" s="261">
        <f>+AE980-AE990</f>
        <v>117353577</v>
      </c>
      <c r="AF992" s="262"/>
      <c r="AG992" s="261">
        <f>+AG980-AG990</f>
        <v>-68087539</v>
      </c>
      <c r="AH992" s="262"/>
      <c r="AI992" s="261">
        <f>+AI980-AI990</f>
        <v>-35199690</v>
      </c>
    </row>
    <row r="993" spans="2:35" ht="12" thickBot="1">
      <c r="B993" s="476" t="s">
        <v>710</v>
      </c>
      <c r="C993" s="470"/>
      <c r="D993" s="262"/>
      <c r="E993" s="265">
        <f>G993+I993+K993+M993+O993+Q993+S993+U993+W993+Y993+AA993+AC993+AE993+AG993+AI993</f>
        <v>-230555312.99000001</v>
      </c>
      <c r="F993" s="262"/>
      <c r="G993" s="265">
        <f>G844</f>
        <v>-256427015</v>
      </c>
      <c r="H993" s="262"/>
      <c r="I993" s="265">
        <f>I844</f>
        <v>-8273200</v>
      </c>
      <c r="J993" s="262"/>
      <c r="K993" s="265">
        <f>K844</f>
        <v>-3597964</v>
      </c>
      <c r="L993" s="262"/>
      <c r="M993" s="265">
        <f>M844</f>
        <v>648653</v>
      </c>
      <c r="N993" s="262"/>
      <c r="O993" s="265">
        <f>O844</f>
        <v>0</v>
      </c>
      <c r="P993" s="262"/>
      <c r="Q993" s="265">
        <f>Q844</f>
        <v>-11678529</v>
      </c>
      <c r="R993" s="262"/>
      <c r="S993" s="265">
        <f>S844</f>
        <v>696659</v>
      </c>
      <c r="T993" s="262"/>
      <c r="U993" s="265">
        <f>U844</f>
        <v>-3496887</v>
      </c>
      <c r="V993" s="262"/>
      <c r="W993" s="265">
        <f>W844</f>
        <v>-34261276</v>
      </c>
      <c r="X993" s="262"/>
      <c r="Y993" s="265">
        <f>Y844</f>
        <v>1436670</v>
      </c>
      <c r="Z993" s="262"/>
      <c r="AA993" s="265">
        <f>AA844</f>
        <v>50524279</v>
      </c>
      <c r="AB993" s="262"/>
      <c r="AC993" s="265">
        <f>AC844</f>
        <v>0</v>
      </c>
      <c r="AD993" s="262"/>
      <c r="AE993" s="265">
        <f>AE844</f>
        <v>63255817.009999998</v>
      </c>
      <c r="AF993" s="262"/>
      <c r="AG993" s="265">
        <f>AG844</f>
        <v>-29382520</v>
      </c>
      <c r="AH993" s="262"/>
      <c r="AI993" s="265">
        <f>AI844</f>
        <v>0</v>
      </c>
    </row>
    <row r="994" spans="2:35">
      <c r="B994" s="476" t="s">
        <v>723</v>
      </c>
      <c r="C994" s="470"/>
      <c r="D994" s="262"/>
      <c r="E994" s="263">
        <f>+E992-E993</f>
        <v>598664148.99000001</v>
      </c>
      <c r="F994" s="262"/>
      <c r="G994" s="263">
        <f>+G992-G993</f>
        <v>-723673242</v>
      </c>
      <c r="H994" s="262"/>
      <c r="I994" s="263">
        <f>+I992-I993</f>
        <v>-37476867</v>
      </c>
      <c r="J994" s="262"/>
      <c r="K994" s="263">
        <f>+K992-K993</f>
        <v>25273506</v>
      </c>
      <c r="L994" s="262"/>
      <c r="M994" s="263">
        <f>+M992-M993</f>
        <v>126053599</v>
      </c>
      <c r="N994" s="262"/>
      <c r="O994" s="263">
        <f>O992-O993</f>
        <v>0</v>
      </c>
      <c r="P994" s="262"/>
      <c r="Q994" s="263">
        <f>+Q992-Q993</f>
        <v>21565189</v>
      </c>
      <c r="R994" s="262"/>
      <c r="S994" s="263">
        <f>+S992-S993</f>
        <v>-50081495</v>
      </c>
      <c r="T994" s="262"/>
      <c r="U994" s="263">
        <f>+U992-U993</f>
        <v>980816301</v>
      </c>
      <c r="V994" s="262"/>
      <c r="W994" s="263">
        <f>+W992-W993</f>
        <v>13655761</v>
      </c>
      <c r="X994" s="262"/>
      <c r="Y994" s="263">
        <f>+Y992-Y993</f>
        <v>-28929114</v>
      </c>
      <c r="Z994" s="262"/>
      <c r="AA994" s="263">
        <f>+AA992-AA993</f>
        <v>291267460</v>
      </c>
      <c r="AB994" s="262"/>
      <c r="AC994" s="263">
        <f>+AC992-AC993</f>
        <v>0</v>
      </c>
      <c r="AD994" s="262"/>
      <c r="AE994" s="263">
        <f>+AE992-AE993</f>
        <v>54097759.990000002</v>
      </c>
      <c r="AF994" s="262"/>
      <c r="AG994" s="263">
        <f>+AG992-AG993</f>
        <v>-38705019</v>
      </c>
      <c r="AH994" s="262"/>
      <c r="AI994" s="263">
        <f>+AI992-AI993</f>
        <v>-35199690</v>
      </c>
    </row>
    <row r="995" spans="2:35" ht="12" thickBot="1">
      <c r="B995" s="476" t="s">
        <v>724</v>
      </c>
      <c r="C995" s="470"/>
      <c r="D995" s="262"/>
      <c r="E995" s="265">
        <f>G995+I995+K995+M995+O995+Q995+S995+U995+W995+Y995+AA995+AC995+AE995+AG995+AI995</f>
        <v>0</v>
      </c>
      <c r="F995" s="262"/>
      <c r="G995" s="265"/>
      <c r="H995" s="262"/>
      <c r="I995" s="265"/>
      <c r="J995" s="262"/>
      <c r="K995" s="265"/>
      <c r="L995" s="262"/>
      <c r="M995" s="265"/>
      <c r="N995" s="262"/>
      <c r="O995" s="265"/>
      <c r="P995" s="262"/>
      <c r="Q995" s="265"/>
      <c r="R995" s="262"/>
      <c r="S995" s="265"/>
      <c r="T995" s="262"/>
      <c r="U995" s="265"/>
      <c r="V995" s="262"/>
      <c r="W995" s="265"/>
      <c r="X995" s="262"/>
      <c r="Y995" s="265"/>
      <c r="Z995" s="262"/>
      <c r="AA995" s="265"/>
      <c r="AB995" s="262"/>
      <c r="AC995" s="265"/>
      <c r="AD995" s="262"/>
      <c r="AE995" s="265"/>
      <c r="AF995" s="262"/>
      <c r="AG995" s="265"/>
      <c r="AH995" s="262"/>
      <c r="AI995" s="265"/>
    </row>
    <row r="996" spans="2:35">
      <c r="B996" s="476"/>
      <c r="C996" s="470"/>
      <c r="D996" s="262"/>
      <c r="E996" s="263">
        <f>E994-E995</f>
        <v>598664148.99000001</v>
      </c>
      <c r="F996" s="262"/>
      <c r="G996" s="263">
        <f>G994-G995</f>
        <v>-723673242</v>
      </c>
      <c r="H996" s="262"/>
      <c r="I996" s="263">
        <f>I994-I995</f>
        <v>-37476867</v>
      </c>
      <c r="J996" s="262"/>
      <c r="K996" s="263">
        <f>K994-K995</f>
        <v>25273506</v>
      </c>
      <c r="L996" s="262"/>
      <c r="M996" s="263">
        <f>M994-M995</f>
        <v>126053599</v>
      </c>
      <c r="N996" s="262"/>
      <c r="O996" s="263">
        <f>O994-O995</f>
        <v>0</v>
      </c>
      <c r="P996" s="262"/>
      <c r="Q996" s="263">
        <f>Q994-Q995</f>
        <v>21565189</v>
      </c>
      <c r="R996" s="262"/>
      <c r="S996" s="263">
        <f>S994-S995</f>
        <v>-50081495</v>
      </c>
      <c r="T996" s="262"/>
      <c r="U996" s="263">
        <f>U994-U995</f>
        <v>980816301</v>
      </c>
      <c r="V996" s="262"/>
      <c r="W996" s="263">
        <f>W994-W995</f>
        <v>13655761</v>
      </c>
      <c r="X996" s="262"/>
      <c r="Y996" s="263">
        <f>Y994-Y995</f>
        <v>-28929114</v>
      </c>
      <c r="Z996" s="262"/>
      <c r="AA996" s="263">
        <f>AA994-AA995</f>
        <v>291267460</v>
      </c>
      <c r="AB996" s="262"/>
      <c r="AC996" s="263">
        <f>AC994-AC995</f>
        <v>0</v>
      </c>
      <c r="AD996" s="262"/>
      <c r="AE996" s="263">
        <f>AE994-AE995</f>
        <v>54097759.990000002</v>
      </c>
      <c r="AF996" s="262"/>
      <c r="AG996" s="263">
        <f>AG994-AG995</f>
        <v>-38705019</v>
      </c>
      <c r="AH996" s="262"/>
      <c r="AI996" s="263">
        <f>AI994-AI995</f>
        <v>-35199690</v>
      </c>
    </row>
    <row r="997" spans="2:35" ht="12" thickBot="1">
      <c r="B997" s="476" t="s">
        <v>476</v>
      </c>
      <c r="C997" s="470"/>
      <c r="D997" s="262"/>
      <c r="E997" s="265"/>
      <c r="F997" s="262"/>
      <c r="G997" s="265">
        <v>1322337394</v>
      </c>
      <c r="H997" s="262"/>
      <c r="I997" s="265">
        <f>K997+M997+O997+Q997+S997+U997+W997+Y997+AA997+AC997+AE997+AG997+AI997+AK997+AM997</f>
        <v>0</v>
      </c>
      <c r="J997" s="262"/>
      <c r="K997" s="265">
        <f>M997+O997+Q997+S997+U997+W997+Y997+AA997+AC997+AE997+AG997+AI997+AK997+AM997+AO997</f>
        <v>0</v>
      </c>
      <c r="L997" s="262"/>
      <c r="M997" s="265">
        <f>O997+Q997+S997+U997+W997+Y997+AA997+AC997+AE997+AG997+AI997+AK997+AM997+AO997+AQ997</f>
        <v>0</v>
      </c>
      <c r="N997" s="262"/>
      <c r="O997" s="265">
        <f>Q997+S997+U997+W997+Y997+AA997+AC997+AE997+AG997+AI997+AK997+AM997+AO997+AQ997+AS997</f>
        <v>0</v>
      </c>
      <c r="P997" s="262"/>
      <c r="Q997" s="265">
        <f>S997+U997+W997+Y997+AA997+AC997+AE997+AG997+AI997+AK997+AM997+AO997+AQ997+AS997+AU997</f>
        <v>0</v>
      </c>
      <c r="R997" s="262"/>
      <c r="S997" s="265">
        <f>U997+W997+Y997+AA997+AC997+AE997+AG997+AI997+AK997+AM997+AO997+AQ997+AS997+AU997+AW997</f>
        <v>0</v>
      </c>
      <c r="T997" s="262"/>
      <c r="U997" s="265">
        <f>W997+Y997+AA997+AC997+AE997+AG997+AI997+AK997+AM997+AO997+AQ997+AS997+AU997+AW997+AY997</f>
        <v>0</v>
      </c>
      <c r="V997" s="262"/>
      <c r="W997" s="265">
        <f>Y997+AA997+AC997+AE997+AG997+AI997+AK997+AM997+AO997+AQ997+AS997+AU997+AW997+AY997+BA997</f>
        <v>0</v>
      </c>
      <c r="X997" s="262"/>
      <c r="Y997" s="265">
        <f>AA997+AC997+AE997+AG997+AI997+AK997+AM997+AO997+AQ997+AS997+AU997+AW997+AY997+BA997+BC997</f>
        <v>0</v>
      </c>
      <c r="Z997" s="262"/>
      <c r="AA997" s="265">
        <f>AC997+AE997+AG997+AI997+AK997+AM997+AO997+AQ997+AS997+AU997+AW997+AY997+BA997+BC997+BE997</f>
        <v>0</v>
      </c>
      <c r="AB997" s="262"/>
      <c r="AC997" s="265">
        <f>AE997+AG997+AI997+AK997+AM997+AO997+AQ997+AS997+AU997+AW997+AY997+BA997+BC997+BE997+BG997</f>
        <v>0</v>
      </c>
      <c r="AD997" s="262"/>
      <c r="AE997" s="265">
        <f>AG997+AI997+AK997+AM997+AO997+AQ997+AS997+AU997+AW997+AY997+BA997+BC997+BE997+BG997+BI997</f>
        <v>0</v>
      </c>
      <c r="AF997" s="262"/>
      <c r="AG997" s="265">
        <f>AI997+AK997+AM997+AO997+AQ997+AS997+AU997+AW997+AY997+BA997+BC997+BE997+BG997+BI997+BK997</f>
        <v>0</v>
      </c>
      <c r="AH997" s="262"/>
      <c r="AI997" s="265">
        <f>AK997+AM997+AO997+AQ997+AS997+AU997+AW997+AY997+BA997+BC997+BE997+BG997+BI997+BK997+BM997</f>
        <v>0</v>
      </c>
    </row>
    <row r="998" spans="2:35">
      <c r="B998" s="476" t="s">
        <v>725</v>
      </c>
      <c r="C998" s="470"/>
      <c r="D998" s="262"/>
      <c r="E998" s="263">
        <f>E996+E997</f>
        <v>598664148.99000001</v>
      </c>
      <c r="F998" s="262"/>
      <c r="G998" s="263">
        <f>G996+G997</f>
        <v>598664152</v>
      </c>
      <c r="H998" s="262"/>
      <c r="I998" s="263">
        <f>I996+I997</f>
        <v>-37476867</v>
      </c>
      <c r="J998" s="262"/>
      <c r="K998" s="263">
        <f>K996+K997</f>
        <v>25273506</v>
      </c>
      <c r="L998" s="262"/>
      <c r="M998" s="263">
        <f>M996+M997</f>
        <v>126053599</v>
      </c>
      <c r="N998" s="262"/>
      <c r="O998" s="263">
        <f>O996+O997</f>
        <v>0</v>
      </c>
      <c r="P998" s="262"/>
      <c r="Q998" s="263">
        <f>Q996+Q997</f>
        <v>21565189</v>
      </c>
      <c r="R998" s="262"/>
      <c r="S998" s="263">
        <f>S996+S997</f>
        <v>-50081495</v>
      </c>
      <c r="T998" s="262"/>
      <c r="U998" s="263">
        <f>U996+U997</f>
        <v>980816301</v>
      </c>
      <c r="V998" s="262"/>
      <c r="W998" s="263">
        <f>W996+W997</f>
        <v>13655761</v>
      </c>
      <c r="X998" s="262"/>
      <c r="Y998" s="263">
        <f>Y996+Y997</f>
        <v>-28929114</v>
      </c>
      <c r="Z998" s="262"/>
      <c r="AA998" s="263">
        <f>AA996+AA997</f>
        <v>291267460</v>
      </c>
      <c r="AB998" s="262"/>
      <c r="AC998" s="263">
        <f>AC996+AC997</f>
        <v>0</v>
      </c>
      <c r="AD998" s="262"/>
      <c r="AE998" s="263">
        <f>AE996+AE997</f>
        <v>54097759.990000002</v>
      </c>
      <c r="AF998" s="262"/>
      <c r="AG998" s="263">
        <f>AG996+AG997</f>
        <v>-38705019</v>
      </c>
      <c r="AH998" s="262"/>
      <c r="AI998" s="263">
        <f>AI996+AI997</f>
        <v>-35199690</v>
      </c>
    </row>
    <row r="999" spans="2:35">
      <c r="B999" s="476" t="s">
        <v>726</v>
      </c>
      <c r="C999" s="470"/>
      <c r="D999" s="262"/>
      <c r="E999" s="263"/>
      <c r="F999" s="262"/>
      <c r="G999" s="263"/>
      <c r="H999" s="262"/>
      <c r="I999" s="263"/>
      <c r="J999" s="262"/>
      <c r="K999" s="263"/>
      <c r="L999" s="262"/>
      <c r="M999" s="263"/>
      <c r="N999" s="262"/>
      <c r="O999" s="263"/>
      <c r="P999" s="262"/>
      <c r="Q999" s="263"/>
      <c r="R999" s="262"/>
      <c r="S999" s="263"/>
      <c r="T999" s="262"/>
      <c r="U999" s="263"/>
      <c r="V999" s="262"/>
      <c r="W999" s="263"/>
      <c r="X999" s="262"/>
      <c r="Y999" s="263"/>
      <c r="Z999" s="262"/>
      <c r="AA999" s="263"/>
      <c r="AB999" s="262"/>
      <c r="AC999" s="263"/>
      <c r="AD999" s="262"/>
      <c r="AE999" s="263"/>
      <c r="AF999" s="262"/>
      <c r="AG999" s="263"/>
      <c r="AH999" s="262"/>
      <c r="AI999" s="263"/>
    </row>
    <row r="1000" spans="2:35">
      <c r="B1000" s="476" t="s">
        <v>727</v>
      </c>
      <c r="C1000" s="470"/>
      <c r="D1000" s="262"/>
      <c r="E1000" s="263"/>
      <c r="F1000" s="262"/>
      <c r="G1000" s="263"/>
      <c r="H1000" s="262"/>
      <c r="I1000" s="263"/>
      <c r="J1000" s="262"/>
      <c r="K1000" s="263"/>
      <c r="L1000" s="262"/>
      <c r="M1000" s="263"/>
      <c r="N1000" s="262"/>
      <c r="O1000" s="263"/>
      <c r="P1000" s="262"/>
      <c r="Q1000" s="263"/>
      <c r="R1000" s="262"/>
      <c r="S1000" s="263"/>
      <c r="T1000" s="262"/>
      <c r="U1000" s="263"/>
      <c r="V1000" s="262"/>
      <c r="W1000" s="263"/>
      <c r="X1000" s="262"/>
      <c r="Y1000" s="263"/>
      <c r="Z1000" s="262"/>
      <c r="AA1000" s="263"/>
      <c r="AB1000" s="262"/>
      <c r="AC1000" s="263"/>
      <c r="AD1000" s="262"/>
      <c r="AE1000" s="263"/>
      <c r="AF1000" s="262"/>
      <c r="AG1000" s="263"/>
      <c r="AH1000" s="262"/>
      <c r="AI1000" s="263"/>
    </row>
    <row r="1001" spans="2:35">
      <c r="B1001" s="476" t="s">
        <v>322</v>
      </c>
      <c r="C1001" s="470"/>
      <c r="D1001" s="262">
        <f>F1001+H1001+J1001+L1001+N1001+P1001+R1001+T1001+V1001+X1001+Z1001+AB1001+AD1001+AF1001+AH1001</f>
        <v>154000000</v>
      </c>
      <c r="E1001" s="263"/>
      <c r="F1001" s="262">
        <v>154000000</v>
      </c>
      <c r="G1001" s="263"/>
      <c r="H1001" s="262"/>
      <c r="I1001" s="263"/>
      <c r="J1001" s="262"/>
      <c r="K1001" s="263"/>
      <c r="L1001" s="262"/>
      <c r="M1001" s="263"/>
      <c r="N1001" s="262"/>
      <c r="O1001" s="263"/>
      <c r="P1001" s="262"/>
      <c r="Q1001" s="263"/>
      <c r="R1001" s="262"/>
      <c r="S1001" s="263"/>
      <c r="T1001" s="262"/>
      <c r="U1001" s="263"/>
      <c r="V1001" s="262"/>
      <c r="W1001" s="263"/>
      <c r="X1001" s="262"/>
      <c r="Y1001" s="263"/>
      <c r="Z1001" s="262"/>
      <c r="AA1001" s="263"/>
      <c r="AB1001" s="262"/>
      <c r="AC1001" s="263"/>
      <c r="AD1001" s="262"/>
      <c r="AE1001" s="263"/>
      <c r="AF1001" s="262"/>
      <c r="AG1001" s="263"/>
      <c r="AH1001" s="262"/>
      <c r="AI1001" s="263"/>
    </row>
    <row r="1002" spans="2:35">
      <c r="B1002" s="476" t="s">
        <v>323</v>
      </c>
      <c r="C1002" s="470"/>
      <c r="D1002" s="262">
        <f>F1002+H1002+J1002+L1002+N1002+P1002+R1002+T1002+V1002+X1002+Z1002+AB1002+AD1002+AF1002+AH1002</f>
        <v>0</v>
      </c>
      <c r="E1002" s="263"/>
      <c r="F1002" s="262"/>
      <c r="G1002" s="263"/>
      <c r="H1002" s="262"/>
      <c r="I1002" s="263"/>
      <c r="J1002" s="262"/>
      <c r="K1002" s="263"/>
      <c r="L1002" s="262"/>
      <c r="M1002" s="263"/>
      <c r="N1002" s="262"/>
      <c r="O1002" s="263"/>
      <c r="P1002" s="262"/>
      <c r="Q1002" s="263"/>
      <c r="R1002" s="262"/>
      <c r="S1002" s="263"/>
      <c r="T1002" s="262"/>
      <c r="U1002" s="263"/>
      <c r="V1002" s="262"/>
      <c r="W1002" s="263"/>
      <c r="X1002" s="262"/>
      <c r="Y1002" s="263"/>
      <c r="Z1002" s="262"/>
      <c r="AA1002" s="263"/>
      <c r="AB1002" s="262"/>
      <c r="AC1002" s="263"/>
      <c r="AD1002" s="262"/>
      <c r="AE1002" s="263"/>
      <c r="AF1002" s="262"/>
      <c r="AG1002" s="263"/>
      <c r="AH1002" s="262"/>
      <c r="AI1002" s="263"/>
    </row>
    <row r="1003" spans="2:35">
      <c r="B1003" s="476" t="s">
        <v>324</v>
      </c>
      <c r="C1003" s="470"/>
      <c r="D1003" s="262">
        <f>F1003+H1003+J1003+L1003+N1003+P1003+R1003+T1003+V1003+X1003+Z1003+AB1003+AD1003+AF1003+AH1003</f>
        <v>-17008541</v>
      </c>
      <c r="E1003" s="263"/>
      <c r="F1003" s="262">
        <v>-17008541</v>
      </c>
      <c r="G1003" s="263"/>
      <c r="H1003" s="262"/>
      <c r="I1003" s="263"/>
      <c r="J1003" s="262"/>
      <c r="K1003" s="263"/>
      <c r="L1003" s="262"/>
      <c r="M1003" s="263"/>
      <c r="N1003" s="262"/>
      <c r="O1003" s="263"/>
      <c r="P1003" s="262"/>
      <c r="Q1003" s="263"/>
      <c r="R1003" s="262"/>
      <c r="S1003" s="263"/>
      <c r="T1003" s="262"/>
      <c r="U1003" s="263"/>
      <c r="V1003" s="262"/>
      <c r="W1003" s="263"/>
      <c r="X1003" s="262"/>
      <c r="Y1003" s="263"/>
      <c r="Z1003" s="262"/>
      <c r="AA1003" s="263"/>
      <c r="AB1003" s="262"/>
      <c r="AC1003" s="263"/>
      <c r="AD1003" s="262"/>
      <c r="AE1003" s="263"/>
      <c r="AF1003" s="262"/>
      <c r="AG1003" s="263"/>
      <c r="AH1003" s="262"/>
      <c r="AI1003" s="263"/>
    </row>
    <row r="1004" spans="2:35" ht="12" thickBot="1">
      <c r="B1004" s="476" t="s">
        <v>728</v>
      </c>
      <c r="C1004" s="470"/>
      <c r="D1004" s="262">
        <f>F1004+H1004+J1004+L1004+N1004+P1004+R1004+T1004+V1004+X1004+Z1004+AB1004+AD1004+AF1004+AH1004</f>
        <v>-17410000</v>
      </c>
      <c r="E1004" s="265">
        <f>+SUM(D1000:D1004)</f>
        <v>119581459</v>
      </c>
      <c r="F1004" s="264">
        <v>-17410000</v>
      </c>
      <c r="G1004" s="265">
        <f>SUM(F1000:F1004)</f>
        <v>119581459</v>
      </c>
      <c r="H1004" s="264"/>
      <c r="I1004" s="265">
        <f>+SUM(H1000:H1004)</f>
        <v>0</v>
      </c>
      <c r="J1004" s="264"/>
      <c r="K1004" s="265">
        <f>+SUM(J1000:J1004)</f>
        <v>0</v>
      </c>
      <c r="L1004" s="264"/>
      <c r="M1004" s="265">
        <f>+SUM(L1000:L1004)</f>
        <v>0</v>
      </c>
      <c r="N1004" s="264"/>
      <c r="O1004" s="265">
        <f>+SUM(N1000:N1004)</f>
        <v>0</v>
      </c>
      <c r="P1004" s="264"/>
      <c r="Q1004" s="265">
        <f>+SUM(P1000:P1004)</f>
        <v>0</v>
      </c>
      <c r="R1004" s="264"/>
      <c r="S1004" s="265">
        <f>+SUM(R1000:R1004)</f>
        <v>0</v>
      </c>
      <c r="T1004" s="264"/>
      <c r="U1004" s="265">
        <f>+SUM(T1000:T1004)</f>
        <v>0</v>
      </c>
      <c r="V1004" s="264"/>
      <c r="W1004" s="265">
        <f>+SUM(V1000:V1004)</f>
        <v>0</v>
      </c>
      <c r="X1004" s="264"/>
      <c r="Y1004" s="265">
        <f>+SUM(X1000:X1004)</f>
        <v>0</v>
      </c>
      <c r="Z1004" s="264"/>
      <c r="AA1004" s="265">
        <f>+SUM(Z1000:Z1004)</f>
        <v>0</v>
      </c>
      <c r="AB1004" s="264"/>
      <c r="AC1004" s="265">
        <f>+SUM(AB1000:AB1004)</f>
        <v>0</v>
      </c>
      <c r="AD1004" s="264"/>
      <c r="AE1004" s="265">
        <f>+SUM(AD1000:AD1004)</f>
        <v>0</v>
      </c>
      <c r="AF1004" s="264"/>
      <c r="AG1004" s="265">
        <f>+SUM(AF1000:AF1004)</f>
        <v>0</v>
      </c>
      <c r="AH1004" s="264"/>
      <c r="AI1004" s="265">
        <f>+SUM(AH1000:AH1004)</f>
        <v>0</v>
      </c>
    </row>
    <row r="1005" spans="2:35" ht="21.75">
      <c r="B1005" s="461" t="s">
        <v>729</v>
      </c>
      <c r="C1005" s="471"/>
      <c r="D1005" s="262"/>
      <c r="E1005" s="263">
        <f>+E998-E1004</f>
        <v>479082689.99000001</v>
      </c>
      <c r="F1005" s="262"/>
      <c r="G1005" s="263">
        <f>+G998-G1004</f>
        <v>479082693</v>
      </c>
      <c r="H1005" s="262"/>
      <c r="I1005" s="263">
        <f>+I998-I1004</f>
        <v>-37476867</v>
      </c>
      <c r="J1005" s="262"/>
      <c r="K1005" s="263">
        <f>+K998-K1004</f>
        <v>25273506</v>
      </c>
      <c r="L1005" s="262"/>
      <c r="M1005" s="263">
        <f>+M998-M1004</f>
        <v>126053599</v>
      </c>
      <c r="N1005" s="262"/>
      <c r="O1005" s="263">
        <f>+O998-O1004</f>
        <v>0</v>
      </c>
      <c r="P1005" s="262"/>
      <c r="Q1005" s="263">
        <f>+Q998-Q1004</f>
        <v>21565189</v>
      </c>
      <c r="R1005" s="262"/>
      <c r="S1005" s="263">
        <f>+S998-S1004</f>
        <v>-50081495</v>
      </c>
      <c r="T1005" s="262"/>
      <c r="U1005" s="263">
        <f>+U998-U1004</f>
        <v>980816301</v>
      </c>
      <c r="V1005" s="262"/>
      <c r="W1005" s="263">
        <f>+W998-W1004</f>
        <v>13655761</v>
      </c>
      <c r="X1005" s="262"/>
      <c r="Y1005" s="263">
        <f>+Y998-Y1004</f>
        <v>-28929114</v>
      </c>
      <c r="Z1005" s="262"/>
      <c r="AA1005" s="263">
        <f>+AA998-AA1004</f>
        <v>291267460</v>
      </c>
      <c r="AB1005" s="262"/>
      <c r="AC1005" s="263">
        <f>+AC998-AC1004</f>
        <v>0</v>
      </c>
      <c r="AD1005" s="262"/>
      <c r="AE1005" s="263">
        <f>+AE998-AE1004</f>
        <v>54097759.990000002</v>
      </c>
      <c r="AF1005" s="262"/>
      <c r="AG1005" s="263">
        <f>+AG998-AG1004</f>
        <v>-38705019</v>
      </c>
      <c r="AH1005" s="262"/>
      <c r="AI1005" s="263">
        <f>+AI998-AI1004</f>
        <v>-35199690</v>
      </c>
    </row>
    <row r="1006" spans="2:35">
      <c r="B1006" s="476" t="s">
        <v>730</v>
      </c>
      <c r="C1006" s="471"/>
      <c r="D1006" s="262"/>
      <c r="E1006" s="263">
        <v>0</v>
      </c>
      <c r="F1006" s="262"/>
      <c r="G1006" s="263"/>
      <c r="H1006" s="262"/>
      <c r="I1006" s="263"/>
      <c r="J1006" s="262"/>
      <c r="K1006" s="263"/>
      <c r="L1006" s="262"/>
      <c r="M1006" s="263"/>
      <c r="N1006" s="262"/>
      <c r="O1006" s="263"/>
      <c r="P1006" s="262"/>
      <c r="Q1006" s="263"/>
      <c r="R1006" s="262"/>
      <c r="S1006" s="263"/>
      <c r="T1006" s="262"/>
      <c r="U1006" s="263"/>
      <c r="V1006" s="262"/>
      <c r="W1006" s="263"/>
      <c r="X1006" s="262"/>
      <c r="Y1006" s="263"/>
      <c r="Z1006" s="262"/>
      <c r="AA1006" s="263"/>
      <c r="AB1006" s="262"/>
      <c r="AC1006" s="263"/>
      <c r="AD1006" s="262"/>
      <c r="AE1006" s="263"/>
      <c r="AF1006" s="262"/>
      <c r="AG1006" s="263"/>
      <c r="AH1006" s="262"/>
      <c r="AI1006" s="263"/>
    </row>
    <row r="1007" spans="2:35" ht="12" thickBot="1">
      <c r="B1007" s="476" t="s">
        <v>731</v>
      </c>
      <c r="C1007" s="471"/>
      <c r="D1007" s="264"/>
      <c r="E1007" s="265">
        <f>+D1006-D1007</f>
        <v>0</v>
      </c>
      <c r="F1007" s="264"/>
      <c r="G1007" s="265">
        <f>+F1006-F1007</f>
        <v>0</v>
      </c>
      <c r="H1007" s="264"/>
      <c r="I1007" s="265">
        <f>+H1006-H1007</f>
        <v>0</v>
      </c>
      <c r="J1007" s="264"/>
      <c r="K1007" s="265">
        <f>+J1006-J1007</f>
        <v>0</v>
      </c>
      <c r="L1007" s="264"/>
      <c r="M1007" s="265">
        <f>+L1006-L1007</f>
        <v>0</v>
      </c>
      <c r="N1007" s="264"/>
      <c r="O1007" s="265">
        <f>+N1006-N1007</f>
        <v>0</v>
      </c>
      <c r="P1007" s="264"/>
      <c r="Q1007" s="265">
        <f>+P1006-P1007</f>
        <v>0</v>
      </c>
      <c r="R1007" s="264"/>
      <c r="S1007" s="265">
        <f>+R1006-R1007</f>
        <v>0</v>
      </c>
      <c r="T1007" s="264"/>
      <c r="U1007" s="265">
        <f>+T1006-T1007</f>
        <v>0</v>
      </c>
      <c r="V1007" s="264"/>
      <c r="W1007" s="265">
        <f>+V1006-V1007</f>
        <v>0</v>
      </c>
      <c r="X1007" s="264"/>
      <c r="Y1007" s="265">
        <f>+X1006-X1007</f>
        <v>0</v>
      </c>
      <c r="Z1007" s="264"/>
      <c r="AA1007" s="265">
        <f>+Z1006-Z1007</f>
        <v>0</v>
      </c>
      <c r="AB1007" s="264"/>
      <c r="AC1007" s="265">
        <f>+AB1006-AB1007</f>
        <v>0</v>
      </c>
      <c r="AD1007" s="264"/>
      <c r="AE1007" s="265">
        <f>+AD1006-AD1007</f>
        <v>0</v>
      </c>
      <c r="AF1007" s="264"/>
      <c r="AG1007" s="265">
        <f>+AF1006-AF1007</f>
        <v>0</v>
      </c>
      <c r="AH1007" s="264"/>
      <c r="AI1007" s="265">
        <f>+AH1006-AH1007</f>
        <v>0</v>
      </c>
    </row>
    <row r="1008" spans="2:35" ht="21.75">
      <c r="B1008" s="484" t="s">
        <v>741</v>
      </c>
      <c r="C1008" s="471"/>
      <c r="D1008" s="262"/>
      <c r="E1008" s="263">
        <f>E1006-E1007</f>
        <v>0</v>
      </c>
      <c r="F1008" s="262"/>
      <c r="G1008" s="263">
        <f>G1006-G1007</f>
        <v>0</v>
      </c>
      <c r="H1008" s="262"/>
      <c r="I1008" s="263">
        <f>I1006-I1007</f>
        <v>0</v>
      </c>
      <c r="J1008" s="262"/>
      <c r="K1008" s="263">
        <f>K1006-K1007</f>
        <v>0</v>
      </c>
      <c r="L1008" s="262"/>
      <c r="M1008" s="263">
        <f>M1006-M1007</f>
        <v>0</v>
      </c>
      <c r="N1008" s="262"/>
      <c r="O1008" s="263">
        <f>O1006-O1007</f>
        <v>0</v>
      </c>
      <c r="P1008" s="262"/>
      <c r="Q1008" s="263">
        <f>Q1006-Q1007</f>
        <v>0</v>
      </c>
      <c r="R1008" s="262"/>
      <c r="S1008" s="263">
        <f>S1006-S1007</f>
        <v>0</v>
      </c>
      <c r="T1008" s="262"/>
      <c r="U1008" s="263">
        <f>U1006-U1007</f>
        <v>0</v>
      </c>
      <c r="V1008" s="262"/>
      <c r="W1008" s="263">
        <f>W1006-W1007</f>
        <v>0</v>
      </c>
      <c r="X1008" s="262"/>
      <c r="Y1008" s="263">
        <f>Y1006-Y1007</f>
        <v>0</v>
      </c>
      <c r="Z1008" s="262"/>
      <c r="AA1008" s="263">
        <f>AA1006-AA1007</f>
        <v>0</v>
      </c>
      <c r="AB1008" s="262"/>
      <c r="AC1008" s="263">
        <f>AC1006-AC1007</f>
        <v>0</v>
      </c>
      <c r="AD1008" s="262"/>
      <c r="AE1008" s="263">
        <f>AE1006-AE1007</f>
        <v>0</v>
      </c>
      <c r="AF1008" s="262"/>
      <c r="AG1008" s="263">
        <f>AG1006-AG1007</f>
        <v>0</v>
      </c>
      <c r="AH1008" s="262"/>
      <c r="AI1008" s="263">
        <f>AI1006-AI1007</f>
        <v>0</v>
      </c>
    </row>
    <row r="1009" spans="2:35">
      <c r="B1009" s="476" t="s">
        <v>742</v>
      </c>
      <c r="C1009" s="471"/>
      <c r="D1009" s="262"/>
      <c r="E1009" s="297">
        <f>+E1005+E1008</f>
        <v>479082689.99000001</v>
      </c>
      <c r="F1009" s="262"/>
      <c r="G1009" s="263">
        <f>+G1005+G1008</f>
        <v>479082693</v>
      </c>
      <c r="H1009" s="262"/>
      <c r="I1009" s="263">
        <f>+I1005+I1008</f>
        <v>-37476867</v>
      </c>
      <c r="J1009" s="262"/>
      <c r="K1009" s="263">
        <f>+K1005+K1008</f>
        <v>25273506</v>
      </c>
      <c r="L1009" s="262"/>
      <c r="M1009" s="263">
        <f>+M1005+M1008</f>
        <v>126053599</v>
      </c>
      <c r="N1009" s="262"/>
      <c r="O1009" s="263">
        <f>+O1005+O1008</f>
        <v>0</v>
      </c>
      <c r="P1009" s="262"/>
      <c r="Q1009" s="263">
        <f>+Q1005+Q1008</f>
        <v>21565189</v>
      </c>
      <c r="R1009" s="262"/>
      <c r="S1009" s="263">
        <f>+S1005+S1008</f>
        <v>-50081495</v>
      </c>
      <c r="T1009" s="262"/>
      <c r="U1009" s="263">
        <f>+U1005+U1008</f>
        <v>980816301</v>
      </c>
      <c r="V1009" s="262"/>
      <c r="W1009" s="263">
        <f>+W1005+W1008</f>
        <v>13655761</v>
      </c>
      <c r="X1009" s="262"/>
      <c r="Y1009" s="263">
        <f>+Y1005+Y1008</f>
        <v>-28929114</v>
      </c>
      <c r="Z1009" s="262"/>
      <c r="AA1009" s="263">
        <f>+AA1005+AA1008</f>
        <v>291267460</v>
      </c>
      <c r="AB1009" s="262"/>
      <c r="AC1009" s="263">
        <f>+AC1005+AC1008</f>
        <v>0</v>
      </c>
      <c r="AD1009" s="262"/>
      <c r="AE1009" s="263">
        <f>+AE1005+AE1008</f>
        <v>54097759.990000002</v>
      </c>
      <c r="AF1009" s="262"/>
      <c r="AG1009" s="875">
        <f>+AG1005+AG1008</f>
        <v>-38705019</v>
      </c>
      <c r="AH1009" s="262"/>
      <c r="AI1009" s="263">
        <f>+AI1005+AI1008</f>
        <v>-35199690</v>
      </c>
    </row>
    <row r="1010" spans="2:35">
      <c r="B1010" s="476"/>
      <c r="C1010" s="471"/>
      <c r="D1010" s="262"/>
      <c r="E1010" s="263"/>
      <c r="F1010" s="262"/>
      <c r="G1010" s="263"/>
      <c r="H1010" s="262"/>
      <c r="I1010" s="263"/>
      <c r="J1010" s="262"/>
      <c r="K1010" s="263"/>
      <c r="L1010" s="262"/>
      <c r="M1010" s="263"/>
      <c r="N1010" s="262"/>
      <c r="O1010" s="263"/>
      <c r="P1010" s="262"/>
      <c r="Q1010" s="263"/>
      <c r="R1010" s="262"/>
      <c r="S1010" s="263"/>
      <c r="T1010" s="262"/>
      <c r="U1010" s="263"/>
      <c r="V1010" s="262"/>
      <c r="W1010" s="263"/>
      <c r="X1010" s="262"/>
      <c r="Y1010" s="263"/>
      <c r="Z1010" s="262"/>
      <c r="AA1010" s="263"/>
      <c r="AB1010" s="262"/>
      <c r="AC1010" s="263"/>
      <c r="AD1010" s="262"/>
      <c r="AE1010" s="263"/>
      <c r="AF1010" s="262"/>
      <c r="AG1010" s="263"/>
      <c r="AH1010" s="262"/>
      <c r="AI1010" s="263"/>
    </row>
    <row r="1011" spans="2:35">
      <c r="B1011" s="476" t="s">
        <v>743</v>
      </c>
      <c r="C1011" s="471"/>
      <c r="D1011" s="262"/>
      <c r="E1011" s="263"/>
      <c r="F1011" s="262"/>
      <c r="G1011" s="263"/>
      <c r="H1011" s="262"/>
      <c r="I1011" s="263"/>
      <c r="J1011" s="262"/>
      <c r="K1011" s="263"/>
      <c r="L1011" s="262"/>
      <c r="M1011" s="263"/>
      <c r="N1011" s="262"/>
      <c r="O1011" s="263"/>
      <c r="P1011" s="262"/>
      <c r="Q1011" s="263"/>
      <c r="R1011" s="262"/>
      <c r="S1011" s="263"/>
      <c r="T1011" s="262"/>
      <c r="U1011" s="263"/>
      <c r="V1011" s="262" t="s">
        <v>167</v>
      </c>
      <c r="W1011" s="263"/>
      <c r="X1011" s="262"/>
      <c r="Y1011" s="263"/>
      <c r="Z1011" s="262"/>
      <c r="AA1011" s="263"/>
      <c r="AB1011" s="262"/>
      <c r="AC1011" s="263"/>
      <c r="AD1011" s="262"/>
      <c r="AE1011" s="263"/>
      <c r="AF1011" s="262"/>
      <c r="AG1011" s="263"/>
      <c r="AH1011" s="262"/>
      <c r="AI1011" s="263"/>
    </row>
    <row r="1012" spans="2:35">
      <c r="B1012" s="476" t="s">
        <v>744</v>
      </c>
      <c r="C1012" s="471"/>
      <c r="D1012" s="262"/>
      <c r="E1012" s="536">
        <f>+E1009/1000000000</f>
        <v>0.47908268999000003</v>
      </c>
      <c r="F1012" s="262"/>
      <c r="G1012" s="263"/>
      <c r="H1012" s="262"/>
      <c r="I1012" s="263"/>
      <c r="J1012" s="262"/>
      <c r="K1012" s="263"/>
      <c r="L1012" s="262"/>
      <c r="M1012" s="263"/>
      <c r="N1012" s="262"/>
      <c r="O1012" s="263"/>
      <c r="P1012" s="262"/>
      <c r="Q1012" s="263"/>
      <c r="R1012" s="262"/>
      <c r="S1012" s="263"/>
      <c r="T1012" s="262"/>
      <c r="U1012" s="263"/>
      <c r="V1012" s="262"/>
      <c r="W1012" s="263"/>
      <c r="X1012" s="262"/>
      <c r="Y1012" s="263"/>
      <c r="Z1012" s="262"/>
      <c r="AA1012" s="263"/>
      <c r="AB1012" s="262"/>
      <c r="AC1012" s="263"/>
      <c r="AD1012" s="262"/>
      <c r="AE1012" s="263"/>
      <c r="AF1012" s="262"/>
      <c r="AG1012" s="263"/>
      <c r="AH1012" s="262"/>
      <c r="AI1012" s="263"/>
    </row>
    <row r="1013" spans="2:35" ht="12" thickBot="1">
      <c r="B1013" s="467" t="s">
        <v>745</v>
      </c>
      <c r="C1013" s="467"/>
      <c r="D1013" s="264"/>
      <c r="E1013" s="537">
        <f>+E1009/1000000000</f>
        <v>0.47908268999000003</v>
      </c>
      <c r="F1013" s="264"/>
      <c r="G1013" s="265"/>
      <c r="H1013" s="264"/>
      <c r="I1013" s="265"/>
      <c r="J1013" s="264"/>
      <c r="K1013" s="265"/>
      <c r="L1013" s="264"/>
      <c r="M1013" s="265"/>
      <c r="N1013" s="264"/>
      <c r="O1013" s="265"/>
      <c r="P1013" s="264"/>
      <c r="Q1013" s="265"/>
      <c r="R1013" s="264"/>
      <c r="S1013" s="265"/>
      <c r="T1013" s="264"/>
      <c r="U1013" s="265"/>
      <c r="V1013" s="264"/>
      <c r="W1013" s="265"/>
      <c r="X1013" s="264"/>
      <c r="Y1013" s="265"/>
      <c r="Z1013" s="264"/>
      <c r="AA1013" s="265"/>
      <c r="AB1013" s="264"/>
      <c r="AC1013" s="265"/>
      <c r="AD1013" s="264"/>
      <c r="AE1013" s="265"/>
      <c r="AF1013" s="264"/>
      <c r="AG1013" s="265"/>
      <c r="AH1013" s="264"/>
      <c r="AI1013" s="265"/>
    </row>
    <row r="1018" spans="2:35">
      <c r="F1018" s="301">
        <f>E998-571606199</f>
        <v>27057949.99000001</v>
      </c>
    </row>
    <row r="1021" spans="2:35">
      <c r="F1021" s="654">
        <f>E1009-G1009</f>
        <v>-3.0099999904632568</v>
      </c>
      <c r="G1021" s="654">
        <v>718400207</v>
      </c>
    </row>
  </sheetData>
  <mergeCells count="664">
    <mergeCell ref="H658:I658"/>
    <mergeCell ref="J658:K658"/>
    <mergeCell ref="L658:M658"/>
    <mergeCell ref="H834:I834"/>
    <mergeCell ref="N722:O722"/>
    <mergeCell ref="P722:Q722"/>
    <mergeCell ref="H707:I707"/>
    <mergeCell ref="J707:K707"/>
    <mergeCell ref="L707:M707"/>
    <mergeCell ref="N707:O707"/>
    <mergeCell ref="P707:Q707"/>
    <mergeCell ref="H677:I677"/>
    <mergeCell ref="J677:K677"/>
    <mergeCell ref="L677:M677"/>
    <mergeCell ref="N677:O677"/>
    <mergeCell ref="P677:Q677"/>
    <mergeCell ref="N658:O658"/>
    <mergeCell ref="P658:Q658"/>
    <mergeCell ref="J834:K834"/>
    <mergeCell ref="L834:M834"/>
    <mergeCell ref="T834:U834"/>
    <mergeCell ref="V834:W834"/>
    <mergeCell ref="X834:Y834"/>
    <mergeCell ref="N834:O834"/>
    <mergeCell ref="P834:Q834"/>
    <mergeCell ref="AB809:AC809"/>
    <mergeCell ref="V809:W809"/>
    <mergeCell ref="X809:Y809"/>
    <mergeCell ref="AD872:AE872"/>
    <mergeCell ref="N872:O872"/>
    <mergeCell ref="AD861:AE861"/>
    <mergeCell ref="P904:Q904"/>
    <mergeCell ref="R904:S904"/>
    <mergeCell ref="R872:S872"/>
    <mergeCell ref="T872:U872"/>
    <mergeCell ref="AH917:AI917"/>
    <mergeCell ref="X917:Y917"/>
    <mergeCell ref="Z917:AA917"/>
    <mergeCell ref="AB917:AC917"/>
    <mergeCell ref="AD917:AE917"/>
    <mergeCell ref="AH904:AI904"/>
    <mergeCell ref="AF917:AG917"/>
    <mergeCell ref="Z904:AA904"/>
    <mergeCell ref="AB904:AC904"/>
    <mergeCell ref="AD904:AE904"/>
    <mergeCell ref="X904:Y904"/>
    <mergeCell ref="AH872:AI872"/>
    <mergeCell ref="AH892:AI892"/>
    <mergeCell ref="Z872:AA872"/>
    <mergeCell ref="AB872:AC872"/>
    <mergeCell ref="V872:W872"/>
    <mergeCell ref="X872:Y872"/>
    <mergeCell ref="AF904:AG904"/>
    <mergeCell ref="AF872:AG872"/>
    <mergeCell ref="P872:Q872"/>
    <mergeCell ref="N917:O917"/>
    <mergeCell ref="P917:Q917"/>
    <mergeCell ref="R917:S917"/>
    <mergeCell ref="H904:I904"/>
    <mergeCell ref="AD892:AE892"/>
    <mergeCell ref="AF892:AG892"/>
    <mergeCell ref="T904:U904"/>
    <mergeCell ref="V904:W904"/>
    <mergeCell ref="T917:U917"/>
    <mergeCell ref="V917:W917"/>
    <mergeCell ref="H892:I892"/>
    <mergeCell ref="J892:K892"/>
    <mergeCell ref="L892:M892"/>
    <mergeCell ref="N892:O892"/>
    <mergeCell ref="P892:Q892"/>
    <mergeCell ref="R892:S892"/>
    <mergeCell ref="T892:U892"/>
    <mergeCell ref="V892:W892"/>
    <mergeCell ref="X892:Y892"/>
    <mergeCell ref="Z892:AA892"/>
    <mergeCell ref="AB892:AC892"/>
    <mergeCell ref="J904:K904"/>
    <mergeCell ref="L904:M904"/>
    <mergeCell ref="N904:O904"/>
    <mergeCell ref="AF861:AG861"/>
    <mergeCell ref="H861:I861"/>
    <mergeCell ref="J861:K861"/>
    <mergeCell ref="L861:M861"/>
    <mergeCell ref="N861:O861"/>
    <mergeCell ref="P861:Q861"/>
    <mergeCell ref="R861:S861"/>
    <mergeCell ref="T861:U861"/>
    <mergeCell ref="V861:W861"/>
    <mergeCell ref="X861:Y861"/>
    <mergeCell ref="Z861:AA861"/>
    <mergeCell ref="AB861:AC861"/>
    <mergeCell ref="AH798:AI798"/>
    <mergeCell ref="H809:I809"/>
    <mergeCell ref="J809:K809"/>
    <mergeCell ref="L809:M809"/>
    <mergeCell ref="N809:O809"/>
    <mergeCell ref="P809:Q809"/>
    <mergeCell ref="R809:S809"/>
    <mergeCell ref="T809:U809"/>
    <mergeCell ref="AD798:AE798"/>
    <mergeCell ref="AF798:AG798"/>
    <mergeCell ref="AH809:AI809"/>
    <mergeCell ref="AD809:AE809"/>
    <mergeCell ref="AF809:AG809"/>
    <mergeCell ref="Z809:AA809"/>
    <mergeCell ref="AH861:AI861"/>
    <mergeCell ref="AH834:AI834"/>
    <mergeCell ref="Z834:AA834"/>
    <mergeCell ref="AB834:AC834"/>
    <mergeCell ref="AD834:AE834"/>
    <mergeCell ref="AF834:AG834"/>
    <mergeCell ref="R834:S834"/>
    <mergeCell ref="AH791:AI791"/>
    <mergeCell ref="H798:I798"/>
    <mergeCell ref="J798:K798"/>
    <mergeCell ref="L798:M798"/>
    <mergeCell ref="N798:O798"/>
    <mergeCell ref="P798:Q798"/>
    <mergeCell ref="R798:S798"/>
    <mergeCell ref="T798:U798"/>
    <mergeCell ref="V798:W798"/>
    <mergeCell ref="X798:Y798"/>
    <mergeCell ref="Z791:AA791"/>
    <mergeCell ref="AB791:AC791"/>
    <mergeCell ref="V791:W791"/>
    <mergeCell ref="X791:Y791"/>
    <mergeCell ref="Z798:AA798"/>
    <mergeCell ref="AB798:AC798"/>
    <mergeCell ref="AD791:AE791"/>
    <mergeCell ref="AF791:AG791"/>
    <mergeCell ref="H791:I791"/>
    <mergeCell ref="J791:K791"/>
    <mergeCell ref="L791:M791"/>
    <mergeCell ref="N791:O791"/>
    <mergeCell ref="P791:Q791"/>
    <mergeCell ref="R791:S791"/>
    <mergeCell ref="T791:U791"/>
    <mergeCell ref="AD784:AE784"/>
    <mergeCell ref="AF784:AG784"/>
    <mergeCell ref="V784:W784"/>
    <mergeCell ref="X784:Y784"/>
    <mergeCell ref="Z784:AA784"/>
    <mergeCell ref="AB784:AC784"/>
    <mergeCell ref="AH784:AI784"/>
    <mergeCell ref="H784:I784"/>
    <mergeCell ref="J784:K784"/>
    <mergeCell ref="L784:M784"/>
    <mergeCell ref="N784:O784"/>
    <mergeCell ref="P784:Q784"/>
    <mergeCell ref="R784:S784"/>
    <mergeCell ref="T784:U784"/>
    <mergeCell ref="R707:S707"/>
    <mergeCell ref="X707:Y707"/>
    <mergeCell ref="Z707:AA707"/>
    <mergeCell ref="AB707:AC707"/>
    <mergeCell ref="AH722:AI722"/>
    <mergeCell ref="AD707:AE707"/>
    <mergeCell ref="AF707:AG707"/>
    <mergeCell ref="Z722:AA722"/>
    <mergeCell ref="AB722:AC722"/>
    <mergeCell ref="V722:W722"/>
    <mergeCell ref="X722:Y722"/>
    <mergeCell ref="R722:S722"/>
    <mergeCell ref="T722:U722"/>
    <mergeCell ref="H722:I722"/>
    <mergeCell ref="J722:K722"/>
    <mergeCell ref="L722:M722"/>
    <mergeCell ref="T707:U707"/>
    <mergeCell ref="V707:W707"/>
    <mergeCell ref="AD722:AE722"/>
    <mergeCell ref="AF722:AG722"/>
    <mergeCell ref="Z658:AA658"/>
    <mergeCell ref="AB658:AC658"/>
    <mergeCell ref="AH707:AI707"/>
    <mergeCell ref="AH658:AI658"/>
    <mergeCell ref="T677:U677"/>
    <mergeCell ref="AD658:AE658"/>
    <mergeCell ref="AF658:AG658"/>
    <mergeCell ref="AH677:AI677"/>
    <mergeCell ref="Z677:AA677"/>
    <mergeCell ref="AB677:AC677"/>
    <mergeCell ref="R658:S658"/>
    <mergeCell ref="T658:U658"/>
    <mergeCell ref="V658:W658"/>
    <mergeCell ref="X658:Y658"/>
    <mergeCell ref="V677:W677"/>
    <mergeCell ref="X677:Y677"/>
    <mergeCell ref="AH625:AI625"/>
    <mergeCell ref="Z625:AA625"/>
    <mergeCell ref="AB625:AC625"/>
    <mergeCell ref="V625:W625"/>
    <mergeCell ref="X625:Y625"/>
    <mergeCell ref="AD677:AE677"/>
    <mergeCell ref="AF677:AG677"/>
    <mergeCell ref="R677:S677"/>
    <mergeCell ref="L614:M614"/>
    <mergeCell ref="N614:O614"/>
    <mergeCell ref="P614:Q614"/>
    <mergeCell ref="AD625:AE625"/>
    <mergeCell ref="AF625:AG625"/>
    <mergeCell ref="H625:I625"/>
    <mergeCell ref="J625:K625"/>
    <mergeCell ref="L625:M625"/>
    <mergeCell ref="N625:O625"/>
    <mergeCell ref="P625:Q625"/>
    <mergeCell ref="R625:S625"/>
    <mergeCell ref="T625:U625"/>
    <mergeCell ref="AD614:AE614"/>
    <mergeCell ref="AF614:AG614"/>
    <mergeCell ref="R614:S614"/>
    <mergeCell ref="T614:U614"/>
    <mergeCell ref="V614:W614"/>
    <mergeCell ref="X614:Y614"/>
    <mergeCell ref="H614:I614"/>
    <mergeCell ref="J614:K614"/>
    <mergeCell ref="Z571:AA571"/>
    <mergeCell ref="AB571:AC571"/>
    <mergeCell ref="AD528:AE528"/>
    <mergeCell ref="AF528:AG528"/>
    <mergeCell ref="AH571:AI571"/>
    <mergeCell ref="AH591:AI591"/>
    <mergeCell ref="Z614:AA614"/>
    <mergeCell ref="AB614:AC614"/>
    <mergeCell ref="AD591:AE591"/>
    <mergeCell ref="AF591:AG591"/>
    <mergeCell ref="AH614:AI614"/>
    <mergeCell ref="AH528:AI528"/>
    <mergeCell ref="Z528:AA528"/>
    <mergeCell ref="AB528:AC528"/>
    <mergeCell ref="AD571:AE571"/>
    <mergeCell ref="AF571:AG571"/>
    <mergeCell ref="Z591:AA591"/>
    <mergeCell ref="AB591:AC591"/>
    <mergeCell ref="V528:W528"/>
    <mergeCell ref="X528:Y528"/>
    <mergeCell ref="R528:S528"/>
    <mergeCell ref="T528:U528"/>
    <mergeCell ref="H591:I591"/>
    <mergeCell ref="J591:K591"/>
    <mergeCell ref="L591:M591"/>
    <mergeCell ref="N591:O591"/>
    <mergeCell ref="P591:Q591"/>
    <mergeCell ref="R591:S591"/>
    <mergeCell ref="T591:U591"/>
    <mergeCell ref="V591:W591"/>
    <mergeCell ref="X591:Y591"/>
    <mergeCell ref="H571:I571"/>
    <mergeCell ref="J571:K571"/>
    <mergeCell ref="L571:M571"/>
    <mergeCell ref="N571:O571"/>
    <mergeCell ref="P571:Q571"/>
    <mergeCell ref="R571:S571"/>
    <mergeCell ref="T571:U571"/>
    <mergeCell ref="V571:W571"/>
    <mergeCell ref="X571:Y571"/>
    <mergeCell ref="J494:K494"/>
    <mergeCell ref="L494:M494"/>
    <mergeCell ref="N494:O494"/>
    <mergeCell ref="P494:Q494"/>
    <mergeCell ref="H528:I528"/>
    <mergeCell ref="J528:K528"/>
    <mergeCell ref="L528:M528"/>
    <mergeCell ref="N528:O528"/>
    <mergeCell ref="P528:Q528"/>
    <mergeCell ref="AH472:AI472"/>
    <mergeCell ref="Z494:AA494"/>
    <mergeCell ref="AB494:AC494"/>
    <mergeCell ref="AD472:AE472"/>
    <mergeCell ref="AF472:AG472"/>
    <mergeCell ref="AH494:AI494"/>
    <mergeCell ref="H472:I472"/>
    <mergeCell ref="J472:K472"/>
    <mergeCell ref="L472:M472"/>
    <mergeCell ref="N472:O472"/>
    <mergeCell ref="P472:Q472"/>
    <mergeCell ref="R472:S472"/>
    <mergeCell ref="T472:U472"/>
    <mergeCell ref="Z472:AA472"/>
    <mergeCell ref="AB472:AC472"/>
    <mergeCell ref="V472:W472"/>
    <mergeCell ref="X472:Y472"/>
    <mergeCell ref="AD494:AE494"/>
    <mergeCell ref="AF494:AG494"/>
    <mergeCell ref="R494:S494"/>
    <mergeCell ref="T494:U494"/>
    <mergeCell ref="V494:W494"/>
    <mergeCell ref="X494:Y494"/>
    <mergeCell ref="H494:I494"/>
    <mergeCell ref="X448:Y448"/>
    <mergeCell ref="AH439:AI439"/>
    <mergeCell ref="Z439:AA439"/>
    <mergeCell ref="AB439:AC439"/>
    <mergeCell ref="V439:W439"/>
    <mergeCell ref="X439:Y439"/>
    <mergeCell ref="R439:S439"/>
    <mergeCell ref="T439:U439"/>
    <mergeCell ref="AH448:AI448"/>
    <mergeCell ref="AD448:AE448"/>
    <mergeCell ref="AF448:AG448"/>
    <mergeCell ref="Z448:AA448"/>
    <mergeCell ref="AB448:AC448"/>
    <mergeCell ref="AD439:AE439"/>
    <mergeCell ref="AF439:AG439"/>
    <mergeCell ref="H439:I439"/>
    <mergeCell ref="J439:K439"/>
    <mergeCell ref="L439:M439"/>
    <mergeCell ref="N439:O439"/>
    <mergeCell ref="P439:Q439"/>
    <mergeCell ref="P448:Q448"/>
    <mergeCell ref="R448:S448"/>
    <mergeCell ref="T448:U448"/>
    <mergeCell ref="V448:W448"/>
    <mergeCell ref="H448:I448"/>
    <mergeCell ref="J448:K448"/>
    <mergeCell ref="L448:M448"/>
    <mergeCell ref="N448:O448"/>
    <mergeCell ref="H368:I368"/>
    <mergeCell ref="J368:K368"/>
    <mergeCell ref="L368:M368"/>
    <mergeCell ref="N368:O368"/>
    <mergeCell ref="AD415:AE415"/>
    <mergeCell ref="AF415:AG415"/>
    <mergeCell ref="R415:S415"/>
    <mergeCell ref="T415:U415"/>
    <mergeCell ref="V415:W415"/>
    <mergeCell ref="X415:Y415"/>
    <mergeCell ref="Z368:AA368"/>
    <mergeCell ref="AB368:AC368"/>
    <mergeCell ref="H415:I415"/>
    <mergeCell ref="J415:K415"/>
    <mergeCell ref="L415:M415"/>
    <mergeCell ref="N415:O415"/>
    <mergeCell ref="P415:Q415"/>
    <mergeCell ref="P368:Q368"/>
    <mergeCell ref="R368:S368"/>
    <mergeCell ref="T368:U368"/>
    <mergeCell ref="V368:W368"/>
    <mergeCell ref="X368:Y368"/>
    <mergeCell ref="AH391:AI391"/>
    <mergeCell ref="Z415:AA415"/>
    <mergeCell ref="AB415:AC415"/>
    <mergeCell ref="AD391:AE391"/>
    <mergeCell ref="AF391:AG391"/>
    <mergeCell ref="AH415:AI415"/>
    <mergeCell ref="H391:I391"/>
    <mergeCell ref="J391:K391"/>
    <mergeCell ref="L391:M391"/>
    <mergeCell ref="N391:O391"/>
    <mergeCell ref="P391:Q391"/>
    <mergeCell ref="R391:S391"/>
    <mergeCell ref="T391:U391"/>
    <mergeCell ref="Z391:AA391"/>
    <mergeCell ref="AB391:AC391"/>
    <mergeCell ref="V391:W391"/>
    <mergeCell ref="X391:Y391"/>
    <mergeCell ref="AH323:AI323"/>
    <mergeCell ref="Z323:AA323"/>
    <mergeCell ref="AB323:AC323"/>
    <mergeCell ref="V323:W323"/>
    <mergeCell ref="X323:Y323"/>
    <mergeCell ref="R323:S323"/>
    <mergeCell ref="T323:U323"/>
    <mergeCell ref="AH368:AI368"/>
    <mergeCell ref="AD368:AE368"/>
    <mergeCell ref="AF368:AG368"/>
    <mergeCell ref="AD323:AE323"/>
    <mergeCell ref="AF323:AG323"/>
    <mergeCell ref="H227:I227"/>
    <mergeCell ref="J227:K227"/>
    <mergeCell ref="L227:M227"/>
    <mergeCell ref="N227:O227"/>
    <mergeCell ref="P227:Q227"/>
    <mergeCell ref="H323:I323"/>
    <mergeCell ref="J323:K323"/>
    <mergeCell ref="L323:M323"/>
    <mergeCell ref="N323:O323"/>
    <mergeCell ref="P323:Q323"/>
    <mergeCell ref="AD227:AE227"/>
    <mergeCell ref="AF227:AG227"/>
    <mergeCell ref="R227:S227"/>
    <mergeCell ref="T227:U227"/>
    <mergeCell ref="V227:W227"/>
    <mergeCell ref="X227:Y227"/>
    <mergeCell ref="AH186:AI186"/>
    <mergeCell ref="H200:I200"/>
    <mergeCell ref="J200:K200"/>
    <mergeCell ref="L200:M200"/>
    <mergeCell ref="N200:O200"/>
    <mergeCell ref="P200:Q200"/>
    <mergeCell ref="R200:S200"/>
    <mergeCell ref="T200:U200"/>
    <mergeCell ref="AD186:AE186"/>
    <mergeCell ref="AF186:AG186"/>
    <mergeCell ref="AH200:AI200"/>
    <mergeCell ref="Z200:AA200"/>
    <mergeCell ref="AB200:AC200"/>
    <mergeCell ref="V200:W200"/>
    <mergeCell ref="X200:Y200"/>
    <mergeCell ref="Z227:AA227"/>
    <mergeCell ref="AB227:AC227"/>
    <mergeCell ref="AD200:AE200"/>
    <mergeCell ref="AF150:AG150"/>
    <mergeCell ref="AF200:AG200"/>
    <mergeCell ref="AH227:AI227"/>
    <mergeCell ref="AH169:AI169"/>
    <mergeCell ref="H186:I186"/>
    <mergeCell ref="J186:K186"/>
    <mergeCell ref="L186:M186"/>
    <mergeCell ref="N186:O186"/>
    <mergeCell ref="P186:Q186"/>
    <mergeCell ref="R186:S186"/>
    <mergeCell ref="T186:U186"/>
    <mergeCell ref="V186:W186"/>
    <mergeCell ref="X186:Y186"/>
    <mergeCell ref="Z169:AA169"/>
    <mergeCell ref="AB169:AC169"/>
    <mergeCell ref="Z186:AA186"/>
    <mergeCell ref="AB186:AC186"/>
    <mergeCell ref="AD169:AE169"/>
    <mergeCell ref="AF169:AG169"/>
    <mergeCell ref="R169:S169"/>
    <mergeCell ref="T169:U169"/>
    <mergeCell ref="V169:W169"/>
    <mergeCell ref="X169:Y169"/>
    <mergeCell ref="J169:K169"/>
    <mergeCell ref="T136:U136"/>
    <mergeCell ref="V136:W136"/>
    <mergeCell ref="X136:Y136"/>
    <mergeCell ref="Z136:AA136"/>
    <mergeCell ref="N169:O169"/>
    <mergeCell ref="P169:Q169"/>
    <mergeCell ref="AB150:AC150"/>
    <mergeCell ref="AD150:AE150"/>
    <mergeCell ref="L150:M150"/>
    <mergeCell ref="N150:O150"/>
    <mergeCell ref="P150:Q150"/>
    <mergeCell ref="R150:S150"/>
    <mergeCell ref="L169:M169"/>
    <mergeCell ref="B214:C214"/>
    <mergeCell ref="B217:C217"/>
    <mergeCell ref="B218:C218"/>
    <mergeCell ref="D200:E200"/>
    <mergeCell ref="F200:G200"/>
    <mergeCell ref="L136:M136"/>
    <mergeCell ref="N136:O136"/>
    <mergeCell ref="P136:Q136"/>
    <mergeCell ref="R136:S136"/>
    <mergeCell ref="J150:K150"/>
    <mergeCell ref="B215:C215"/>
    <mergeCell ref="B180:G180"/>
    <mergeCell ref="D186:E186"/>
    <mergeCell ref="AF95:AG95"/>
    <mergeCell ref="AH95:AI95"/>
    <mergeCell ref="T95:U95"/>
    <mergeCell ref="V95:W95"/>
    <mergeCell ref="X95:Y95"/>
    <mergeCell ref="Z95:AA95"/>
    <mergeCell ref="B211:C211"/>
    <mergeCell ref="B212:C212"/>
    <mergeCell ref="B213:C213"/>
    <mergeCell ref="AB95:AC95"/>
    <mergeCell ref="AD95:AE95"/>
    <mergeCell ref="L95:M95"/>
    <mergeCell ref="N95:O95"/>
    <mergeCell ref="P95:Q95"/>
    <mergeCell ref="R95:S95"/>
    <mergeCell ref="AH150:AI150"/>
    <mergeCell ref="T150:U150"/>
    <mergeCell ref="V150:W150"/>
    <mergeCell ref="X150:Y150"/>
    <mergeCell ref="Z150:AA150"/>
    <mergeCell ref="AB136:AC136"/>
    <mergeCell ref="AD136:AE136"/>
    <mergeCell ref="AF136:AG136"/>
    <mergeCell ref="AH136:AI136"/>
    <mergeCell ref="D439:E439"/>
    <mergeCell ref="B555:G555"/>
    <mergeCell ref="D528:E528"/>
    <mergeCell ref="F528:G528"/>
    <mergeCell ref="D448:E448"/>
    <mergeCell ref="F448:G448"/>
    <mergeCell ref="D391:E391"/>
    <mergeCell ref="B545:G545"/>
    <mergeCell ref="B523:G523"/>
    <mergeCell ref="B525:G525"/>
    <mergeCell ref="B484:C484"/>
    <mergeCell ref="D472:E472"/>
    <mergeCell ref="B490:G490"/>
    <mergeCell ref="B551:G551"/>
    <mergeCell ref="B363:G363"/>
    <mergeCell ref="B549:G549"/>
    <mergeCell ref="F227:G227"/>
    <mergeCell ref="D258:E258"/>
    <mergeCell ref="D917:E917"/>
    <mergeCell ref="F917:G917"/>
    <mergeCell ref="D323:E323"/>
    <mergeCell ref="F323:G323"/>
    <mergeCell ref="B436:G436"/>
    <mergeCell ref="B432:G432"/>
    <mergeCell ref="D415:E415"/>
    <mergeCell ref="F415:G415"/>
    <mergeCell ref="B430:G430"/>
    <mergeCell ref="B434:G434"/>
    <mergeCell ref="B384:G384"/>
    <mergeCell ref="F391:G391"/>
    <mergeCell ref="B410:G410"/>
    <mergeCell ref="B778:G778"/>
    <mergeCell ref="B450:B451"/>
    <mergeCell ref="F368:G368"/>
    <mergeCell ref="D368:E368"/>
    <mergeCell ref="B846:G849"/>
    <mergeCell ref="B835:C835"/>
    <mergeCell ref="B836:C836"/>
    <mergeCell ref="B38:G38"/>
    <mergeCell ref="B32:G32"/>
    <mergeCell ref="B196:G196"/>
    <mergeCell ref="H169:I169"/>
    <mergeCell ref="B36:G36"/>
    <mergeCell ref="D136:E136"/>
    <mergeCell ref="F136:G136"/>
    <mergeCell ref="B130:G130"/>
    <mergeCell ref="H150:I150"/>
    <mergeCell ref="F186:G186"/>
    <mergeCell ref="D150:E150"/>
    <mergeCell ref="F150:G150"/>
    <mergeCell ref="B132:G132"/>
    <mergeCell ref="B194:G194"/>
    <mergeCell ref="B182:G182"/>
    <mergeCell ref="H95:I95"/>
    <mergeCell ref="D95:E95"/>
    <mergeCell ref="D42:E42"/>
    <mergeCell ref="F42:G42"/>
    <mergeCell ref="D6:E6"/>
    <mergeCell ref="D7:E7"/>
    <mergeCell ref="F7:G7"/>
    <mergeCell ref="B34:G34"/>
    <mergeCell ref="B18:G18"/>
    <mergeCell ref="B20:G20"/>
    <mergeCell ref="B24:G24"/>
    <mergeCell ref="B26:G26"/>
    <mergeCell ref="B30:G30"/>
    <mergeCell ref="B28:G28"/>
    <mergeCell ref="B22:G22"/>
    <mergeCell ref="J95:K95"/>
    <mergeCell ref="B146:G146"/>
    <mergeCell ref="B128:G128"/>
    <mergeCell ref="H136:I136"/>
    <mergeCell ref="J136:K136"/>
    <mergeCell ref="D169:E169"/>
    <mergeCell ref="F169:G169"/>
    <mergeCell ref="F95:G95"/>
    <mergeCell ref="B547:G547"/>
    <mergeCell ref="B537:G537"/>
    <mergeCell ref="B541:G541"/>
    <mergeCell ref="B543:G543"/>
    <mergeCell ref="B304:G304"/>
    <mergeCell ref="F258:G258"/>
    <mergeCell ref="B209:C209"/>
    <mergeCell ref="B208:C208"/>
    <mergeCell ref="B220:C220"/>
    <mergeCell ref="B221:C221"/>
    <mergeCell ref="D227:E227"/>
    <mergeCell ref="B468:G468"/>
    <mergeCell ref="D494:E494"/>
    <mergeCell ref="F494:G494"/>
    <mergeCell ref="F472:G472"/>
    <mergeCell ref="F439:G439"/>
    <mergeCell ref="B557:G557"/>
    <mergeCell ref="B559:G559"/>
    <mergeCell ref="B563:G563"/>
    <mergeCell ref="B565:G565"/>
    <mergeCell ref="D571:E571"/>
    <mergeCell ref="F571:G571"/>
    <mergeCell ref="B585:G585"/>
    <mergeCell ref="B587:G587"/>
    <mergeCell ref="B553:G553"/>
    <mergeCell ref="D591:E591"/>
    <mergeCell ref="F591:G591"/>
    <mergeCell ref="B610:G610"/>
    <mergeCell ref="D614:E614"/>
    <mergeCell ref="F614:G614"/>
    <mergeCell ref="D625:E625"/>
    <mergeCell ref="F625:G625"/>
    <mergeCell ref="D658:E658"/>
    <mergeCell ref="F658:G658"/>
    <mergeCell ref="B789:D789"/>
    <mergeCell ref="D677:E677"/>
    <mergeCell ref="F677:G677"/>
    <mergeCell ref="F784:G784"/>
    <mergeCell ref="B688:C688"/>
    <mergeCell ref="B718:G718"/>
    <mergeCell ref="F722:G722"/>
    <mergeCell ref="D784:E784"/>
    <mergeCell ref="B710:C710"/>
    <mergeCell ref="D904:E904"/>
    <mergeCell ref="F904:G904"/>
    <mergeCell ref="H872:I872"/>
    <mergeCell ref="J872:K872"/>
    <mergeCell ref="L872:M872"/>
    <mergeCell ref="H917:I917"/>
    <mergeCell ref="J917:K917"/>
    <mergeCell ref="L917:M917"/>
    <mergeCell ref="F872:G872"/>
    <mergeCell ref="D892:E892"/>
    <mergeCell ref="F791:G791"/>
    <mergeCell ref="F809:G809"/>
    <mergeCell ref="B826:G826"/>
    <mergeCell ref="B828:G828"/>
    <mergeCell ref="D861:E861"/>
    <mergeCell ref="F861:G861"/>
    <mergeCell ref="F892:G892"/>
    <mergeCell ref="B856:G856"/>
    <mergeCell ref="D834:E834"/>
    <mergeCell ref="F834:G834"/>
    <mergeCell ref="B839:C839"/>
    <mergeCell ref="B854:G854"/>
    <mergeCell ref="AH927:AI927"/>
    <mergeCell ref="T927:U927"/>
    <mergeCell ref="V927:W927"/>
    <mergeCell ref="X927:Y927"/>
    <mergeCell ref="Z927:AA927"/>
    <mergeCell ref="J927:K927"/>
    <mergeCell ref="AD927:AE927"/>
    <mergeCell ref="L975:M975"/>
    <mergeCell ref="N927:O927"/>
    <mergeCell ref="P927:Q927"/>
    <mergeCell ref="R927:S927"/>
    <mergeCell ref="AF927:AG927"/>
    <mergeCell ref="P975:Q975"/>
    <mergeCell ref="R975:S975"/>
    <mergeCell ref="AB927:AC927"/>
    <mergeCell ref="AH975:AI975"/>
    <mergeCell ref="T975:U975"/>
    <mergeCell ref="V975:W975"/>
    <mergeCell ref="X975:Y975"/>
    <mergeCell ref="Z975:AA975"/>
    <mergeCell ref="AB975:AC975"/>
    <mergeCell ref="AD975:AE975"/>
    <mergeCell ref="AF975:AG975"/>
    <mergeCell ref="L927:M927"/>
    <mergeCell ref="B291:C291"/>
    <mergeCell ref="B4:E5"/>
    <mergeCell ref="B222:C222"/>
    <mergeCell ref="N975:O975"/>
    <mergeCell ref="H975:I975"/>
    <mergeCell ref="J975:K975"/>
    <mergeCell ref="B973:G973"/>
    <mergeCell ref="H927:I927"/>
    <mergeCell ref="B703:G703"/>
    <mergeCell ref="D927:E927"/>
    <mergeCell ref="F927:G927"/>
    <mergeCell ref="D707:E707"/>
    <mergeCell ref="F707:G707"/>
    <mergeCell ref="D975:E975"/>
    <mergeCell ref="F975:G975"/>
    <mergeCell ref="D798:E798"/>
    <mergeCell ref="B776:G776"/>
    <mergeCell ref="D722:E722"/>
    <mergeCell ref="B902:G902"/>
    <mergeCell ref="F798:G798"/>
    <mergeCell ref="D809:E809"/>
    <mergeCell ref="B852:G852"/>
    <mergeCell ref="D872:E872"/>
    <mergeCell ref="D791:E791"/>
  </mergeCells>
  <phoneticPr fontId="3" type="noConversion"/>
  <printOptions gridLines="1"/>
  <pageMargins left="7.6771653999999995E-2" right="0.183070866" top="3.9370078740157501E-2" bottom="3.9370078740157501E-2" header="0.511811023622047" footer="0.511811023622047"/>
  <pageSetup paperSize="9" scale="68" orientation="landscape" r:id="rId1"/>
  <headerFooter alignWithMargins="0"/>
  <rowBreaks count="13" manualBreakCount="13">
    <brk id="124" max="16383" man="1"/>
    <brk id="197" max="16383" man="1"/>
    <brk id="254" max="16383" man="1"/>
    <brk id="278" max="16383" man="1"/>
    <brk id="320" max="16383" man="1"/>
    <brk id="384" max="16383" man="1"/>
    <brk id="534" max="34" man="1"/>
    <brk id="609" max="16383" man="1"/>
    <brk id="674" max="16383" man="1"/>
    <brk id="718" max="16383" man="1"/>
    <brk id="778" max="16383" man="1"/>
    <brk id="845" max="16383" man="1"/>
    <brk id="973" max="16383" man="1"/>
  </rowBreaks>
  <ignoredErrors>
    <ignoredError sqref="D343 F344 N510 AF989:AG989 R941 F510 D207 AD220 F595 J456"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882"/>
  <sheetViews>
    <sheetView topLeftCell="A293" workbookViewId="0">
      <selection activeCell="F318" sqref="F318"/>
    </sheetView>
  </sheetViews>
  <sheetFormatPr defaultRowHeight="10.5"/>
  <cols>
    <col min="1" max="1" width="2.7109375" style="2" customWidth="1"/>
    <col min="2" max="2" width="36.85546875" style="2" customWidth="1"/>
    <col min="3" max="3" width="10.28515625" style="2" hidden="1" customWidth="1"/>
    <col min="4" max="4" width="16.5703125" style="2" bestFit="1" customWidth="1"/>
    <col min="5" max="5" width="19" style="2" bestFit="1" customWidth="1"/>
    <col min="6" max="7" width="19.42578125" style="2" customWidth="1"/>
    <col min="8" max="8" width="13.7109375" style="2" customWidth="1"/>
    <col min="9" max="9" width="13.28515625" style="2" customWidth="1"/>
    <col min="10" max="10" width="12.28515625" style="2" customWidth="1"/>
    <col min="11" max="11" width="13.85546875" style="2" bestFit="1" customWidth="1"/>
    <col min="12" max="12" width="10.28515625" style="2" customWidth="1"/>
    <col min="13" max="13" width="9.85546875" style="2" customWidth="1"/>
    <col min="14" max="14" width="10.5703125" style="2" customWidth="1"/>
    <col min="15" max="15" width="11.140625" style="2" customWidth="1"/>
    <col min="16" max="17" width="10.140625" style="2" bestFit="1" customWidth="1"/>
    <col min="18" max="18" width="13.85546875" style="2" customWidth="1"/>
    <col min="19" max="19" width="10" style="2" customWidth="1"/>
    <col min="20" max="20" width="12" style="2" customWidth="1"/>
    <col min="21" max="21" width="11.7109375" style="2" customWidth="1"/>
    <col min="22" max="22" width="11.28515625" style="2" customWidth="1"/>
    <col min="23" max="23" width="11.85546875" style="2" customWidth="1"/>
    <col min="24" max="24" width="9.85546875" style="2" bestFit="1" customWidth="1"/>
    <col min="25" max="27" width="9.140625" style="2"/>
    <col min="28" max="28" width="9.28515625" style="2" bestFit="1" customWidth="1"/>
    <col min="29" max="29" width="9.140625" style="2"/>
    <col min="30" max="30" width="11.7109375" style="2" customWidth="1"/>
    <col min="31" max="31" width="10.140625" style="2" bestFit="1" customWidth="1"/>
    <col min="32" max="33" width="9.140625" style="2"/>
    <col min="34" max="37" width="10.140625" style="2" bestFit="1" customWidth="1"/>
    <col min="38" max="16384" width="9.140625" style="2"/>
  </cols>
  <sheetData>
    <row r="1" spans="2:7" ht="22.5">
      <c r="B1" s="729" t="s">
        <v>433</v>
      </c>
    </row>
    <row r="3" spans="2:7">
      <c r="B3" s="70" t="s">
        <v>820</v>
      </c>
    </row>
    <row r="4" spans="2:7" ht="21" customHeight="1">
      <c r="B4" s="1449" t="s">
        <v>946</v>
      </c>
      <c r="C4" s="1449"/>
      <c r="D4" s="1449"/>
      <c r="E4" s="1449"/>
      <c r="F4" s="1449"/>
      <c r="G4" s="1449"/>
    </row>
    <row r="5" spans="2:7" ht="13.5" thickBot="1">
      <c r="B5" s="730"/>
      <c r="C5" s="730"/>
      <c r="D5" s="730"/>
      <c r="E5" s="730"/>
      <c r="F5" s="1430" t="s">
        <v>1179</v>
      </c>
      <c r="G5" s="1430"/>
    </row>
    <row r="6" spans="2:7" ht="11.25" thickBot="1">
      <c r="B6" s="546"/>
      <c r="C6" s="543"/>
      <c r="D6" s="1431" t="s">
        <v>1225</v>
      </c>
      <c r="E6" s="1432"/>
      <c r="F6" s="1433" t="s">
        <v>1204</v>
      </c>
      <c r="G6" s="1432"/>
    </row>
    <row r="7" spans="2:7" ht="11.25" thickBot="1">
      <c r="B7" s="544"/>
      <c r="C7" s="12"/>
      <c r="D7" s="564" t="s">
        <v>813</v>
      </c>
      <c r="E7" s="630" t="s">
        <v>814</v>
      </c>
      <c r="F7" s="630" t="s">
        <v>813</v>
      </c>
      <c r="G7" s="630" t="s">
        <v>814</v>
      </c>
    </row>
    <row r="8" spans="2:7" ht="11.25" thickBot="1">
      <c r="B8" s="723" t="s">
        <v>817</v>
      </c>
      <c r="C8" s="724"/>
      <c r="D8" s="293"/>
      <c r="E8" s="542"/>
      <c r="F8" s="293"/>
      <c r="G8" s="542"/>
    </row>
    <row r="9" spans="2:7" ht="11.25" thickBot="1">
      <c r="B9" s="17" t="s">
        <v>815</v>
      </c>
      <c r="C9" s="724"/>
      <c r="D9" s="162">
        <v>1000000000</v>
      </c>
      <c r="E9" s="231">
        <f>G9</f>
        <v>1000000000</v>
      </c>
      <c r="F9" s="163">
        <f>'B_S &amp; Notes 11-12'!D9</f>
        <v>1000000000</v>
      </c>
      <c r="G9" s="163">
        <f>'B_S &amp; Notes 11-12'!E9</f>
        <v>1000000000</v>
      </c>
    </row>
    <row r="10" spans="2:7" ht="11.25" thickBot="1">
      <c r="B10" s="17"/>
      <c r="C10" s="724"/>
      <c r="D10" s="731"/>
      <c r="E10" s="732"/>
      <c r="F10" s="163"/>
      <c r="G10" s="163"/>
    </row>
    <row r="11" spans="2:7" ht="11.25" thickBot="1">
      <c r="B11" s="723" t="s">
        <v>818</v>
      </c>
      <c r="C11" s="724"/>
      <c r="D11" s="731"/>
      <c r="E11" s="732"/>
      <c r="F11" s="163"/>
      <c r="G11" s="163"/>
    </row>
    <row r="12" spans="2:7" ht="11.25" thickBot="1">
      <c r="B12" s="72" t="s">
        <v>6</v>
      </c>
      <c r="C12" s="724"/>
      <c r="D12" s="162">
        <v>1000000000</v>
      </c>
      <c r="E12" s="231">
        <f>G12</f>
        <v>1000000000</v>
      </c>
      <c r="F12" s="163">
        <f>'B_S &amp; Notes 11-12'!D12</f>
        <v>1000000000</v>
      </c>
      <c r="G12" s="163">
        <f>'B_S &amp; Notes 11-12'!E12</f>
        <v>1000000000</v>
      </c>
    </row>
    <row r="13" spans="2:7" ht="11.25" thickBot="1">
      <c r="B13" s="72" t="s">
        <v>906</v>
      </c>
      <c r="C13" s="724"/>
      <c r="D13" s="166"/>
      <c r="E13" s="74"/>
      <c r="F13" s="163"/>
      <c r="G13" s="163"/>
    </row>
    <row r="14" spans="2:7" ht="11.25" thickBot="1">
      <c r="B14" s="72"/>
      <c r="C14" s="724"/>
      <c r="D14" s="166"/>
      <c r="E14" s="74"/>
      <c r="F14" s="163"/>
      <c r="G14" s="163"/>
    </row>
    <row r="15" spans="2:7" ht="11.25" thickBot="1">
      <c r="B15" s="72" t="s">
        <v>821</v>
      </c>
      <c r="C15" s="724"/>
      <c r="D15" s="166"/>
      <c r="E15" s="74"/>
      <c r="F15" s="163"/>
      <c r="G15" s="163"/>
    </row>
    <row r="16" spans="2:7" ht="11.25" thickBot="1">
      <c r="B16" s="75" t="s">
        <v>7</v>
      </c>
      <c r="C16" s="718"/>
      <c r="D16" s="168">
        <v>1000000000</v>
      </c>
      <c r="E16" s="232">
        <f>+E12+E13-E15</f>
        <v>1000000000</v>
      </c>
      <c r="F16" s="163">
        <f>'B_S &amp; Notes 11-12'!D16</f>
        <v>1000000000</v>
      </c>
      <c r="G16" s="163">
        <f>'B_S &amp; Notes 11-12'!E16</f>
        <v>1000000000</v>
      </c>
    </row>
    <row r="18" spans="2:7" ht="23.25" customHeight="1">
      <c r="B18" s="1434" t="s">
        <v>827</v>
      </c>
      <c r="C18" s="1434"/>
      <c r="D18" s="1434"/>
      <c r="E18" s="1434"/>
      <c r="F18" s="1434"/>
      <c r="G18" s="1434"/>
    </row>
    <row r="20" spans="2:7" ht="44.25" customHeight="1">
      <c r="B20" s="1435" t="s">
        <v>8</v>
      </c>
      <c r="C20" s="1435"/>
      <c r="D20" s="1435"/>
      <c r="E20" s="1435"/>
      <c r="F20" s="1435"/>
      <c r="G20" s="1435"/>
    </row>
    <row r="22" spans="2:7" ht="17.25" customHeight="1">
      <c r="B22" s="1435" t="s">
        <v>822</v>
      </c>
      <c r="C22" s="1435"/>
      <c r="D22" s="1435"/>
      <c r="E22" s="1435"/>
      <c r="F22" s="1435"/>
      <c r="G22" s="1435"/>
    </row>
    <row r="24" spans="2:7" ht="23.25" customHeight="1">
      <c r="B24" s="1437" t="s">
        <v>1226</v>
      </c>
      <c r="C24" s="1437"/>
      <c r="D24" s="1437"/>
      <c r="E24" s="1437"/>
      <c r="F24" s="1437"/>
      <c r="G24" s="1437"/>
    </row>
    <row r="26" spans="2:7" ht="14.25" customHeight="1">
      <c r="B26" s="1436" t="s">
        <v>833</v>
      </c>
      <c r="C26" s="1436"/>
      <c r="D26" s="1436"/>
      <c r="E26" s="1436"/>
      <c r="F26" s="1436"/>
      <c r="G26" s="1436"/>
    </row>
    <row r="27" spans="2:7" ht="14.25" customHeight="1">
      <c r="B27" s="704"/>
      <c r="C27" s="704"/>
      <c r="D27" s="704"/>
      <c r="E27" s="704"/>
      <c r="F27" s="704"/>
      <c r="G27" s="704"/>
    </row>
    <row r="28" spans="2:7" ht="14.25" customHeight="1">
      <c r="B28" s="1436" t="s">
        <v>834</v>
      </c>
      <c r="C28" s="1436"/>
      <c r="D28" s="1436"/>
      <c r="E28" s="1436"/>
      <c r="F28" s="1436"/>
      <c r="G28" s="1436"/>
    </row>
    <row r="29" spans="2:7" ht="14.25" customHeight="1">
      <c r="B29" s="704"/>
      <c r="C29" s="704"/>
      <c r="D29" s="704"/>
      <c r="E29" s="704"/>
      <c r="F29" s="704"/>
      <c r="G29" s="704"/>
    </row>
    <row r="30" spans="2:7" ht="14.25" customHeight="1">
      <c r="B30" s="1436" t="s">
        <v>835</v>
      </c>
      <c r="C30" s="1436"/>
      <c r="D30" s="1436"/>
      <c r="E30" s="1436"/>
      <c r="F30" s="1436"/>
      <c r="G30" s="1436"/>
    </row>
    <row r="31" spans="2:7" ht="14.25" customHeight="1">
      <c r="B31" s="704"/>
      <c r="C31" s="704"/>
      <c r="D31" s="704"/>
      <c r="E31" s="704"/>
      <c r="F31" s="704"/>
      <c r="G31" s="704"/>
    </row>
    <row r="32" spans="2:7" ht="14.25" customHeight="1">
      <c r="B32" s="1436" t="s">
        <v>836</v>
      </c>
      <c r="C32" s="1436"/>
      <c r="D32" s="1436"/>
      <c r="E32" s="1436"/>
      <c r="F32" s="1436"/>
      <c r="G32" s="1436"/>
    </row>
    <row r="33" spans="2:9" ht="14.25" customHeight="1">
      <c r="B33" s="704"/>
      <c r="C33" s="704"/>
      <c r="D33" s="704"/>
      <c r="E33" s="704"/>
      <c r="F33" s="704"/>
      <c r="G33" s="704"/>
    </row>
    <row r="34" spans="2:9" ht="14.25" customHeight="1">
      <c r="B34" s="1436" t="s">
        <v>837</v>
      </c>
      <c r="C34" s="1436"/>
      <c r="D34" s="1436"/>
      <c r="E34" s="1436"/>
      <c r="F34" s="1436"/>
      <c r="G34" s="1436"/>
    </row>
    <row r="35" spans="2:9" ht="14.25" customHeight="1">
      <c r="B35" s="704"/>
      <c r="C35" s="704"/>
      <c r="D35" s="704"/>
      <c r="E35" s="704"/>
      <c r="F35" s="704"/>
      <c r="G35" s="704"/>
    </row>
    <row r="36" spans="2:9" ht="14.25" customHeight="1">
      <c r="B36" s="1436" t="s">
        <v>838</v>
      </c>
      <c r="C36" s="1436"/>
      <c r="D36" s="1436"/>
      <c r="E36" s="1436"/>
      <c r="F36" s="1436"/>
      <c r="G36" s="1436"/>
    </row>
    <row r="37" spans="2:9" ht="14.25" customHeight="1">
      <c r="B37" s="704"/>
      <c r="C37" s="704"/>
      <c r="D37" s="704"/>
      <c r="E37" s="704"/>
      <c r="F37" s="704"/>
      <c r="G37" s="704"/>
    </row>
    <row r="38" spans="2:9" ht="14.25" customHeight="1">
      <c r="B38" s="1436" t="s">
        <v>839</v>
      </c>
      <c r="C38" s="1436"/>
      <c r="D38" s="1436"/>
      <c r="E38" s="1436"/>
      <c r="F38" s="1436"/>
      <c r="G38" s="1436"/>
    </row>
    <row r="40" spans="2:9">
      <c r="B40" s="90"/>
      <c r="D40" s="725"/>
      <c r="E40" s="724"/>
      <c r="F40" s="724"/>
      <c r="G40" s="724"/>
      <c r="H40" s="724"/>
      <c r="I40" s="724"/>
    </row>
    <row r="41" spans="2:9">
      <c r="B41" s="318" t="s">
        <v>1055</v>
      </c>
      <c r="C41" s="451"/>
      <c r="D41" s="269"/>
      <c r="E41" s="269"/>
      <c r="F41" s="269"/>
      <c r="G41" s="269"/>
      <c r="H41" s="724"/>
      <c r="I41" s="724"/>
    </row>
    <row r="42" spans="2:9" ht="11.25" thickBot="1">
      <c r="B42" s="360"/>
      <c r="C42" s="451"/>
      <c r="D42" s="269"/>
      <c r="E42" s="269"/>
      <c r="F42" s="269"/>
      <c r="G42" s="269"/>
      <c r="H42" s="724"/>
      <c r="I42" s="724"/>
    </row>
    <row r="43" spans="2:9" ht="11.25" thickBot="1">
      <c r="B43" s="702"/>
      <c r="C43" s="734"/>
      <c r="D43" s="1543" t="s">
        <v>1225</v>
      </c>
      <c r="E43" s="1543"/>
      <c r="F43" s="1543" t="s">
        <v>1204</v>
      </c>
      <c r="G43" s="1544"/>
      <c r="H43" s="724"/>
      <c r="I43" s="724"/>
    </row>
    <row r="44" spans="2:9" ht="11.25">
      <c r="B44" s="376" t="s">
        <v>717</v>
      </c>
      <c r="C44" s="559"/>
      <c r="D44" s="768"/>
      <c r="E44" s="769"/>
      <c r="F44" s="768"/>
      <c r="G44" s="769"/>
      <c r="H44" s="724"/>
      <c r="I44" s="724"/>
    </row>
    <row r="45" spans="2:9">
      <c r="B45" s="327" t="s">
        <v>947</v>
      </c>
      <c r="C45" s="269"/>
      <c r="D45" s="770">
        <f>'BS &amp; Notes 2014-15'!D44</f>
        <v>688326</v>
      </c>
      <c r="E45" s="763"/>
      <c r="F45" s="770">
        <f>'BS &amp; Notes 2013-14'!D44</f>
        <v>0</v>
      </c>
      <c r="G45" s="763"/>
      <c r="H45" s="724"/>
      <c r="I45" s="724"/>
    </row>
    <row r="46" spans="2:9" ht="11.25" thickBot="1">
      <c r="B46" s="327" t="s">
        <v>948</v>
      </c>
      <c r="C46" s="269"/>
      <c r="D46" s="771">
        <f>'BS &amp; Notes 2014-15'!D45</f>
        <v>0</v>
      </c>
      <c r="E46" s="763"/>
      <c r="F46" s="771">
        <f>'BS &amp; Notes 2013-14'!D45</f>
        <v>0</v>
      </c>
      <c r="G46" s="763"/>
      <c r="H46" s="724"/>
      <c r="I46" s="724"/>
    </row>
    <row r="47" spans="2:9">
      <c r="B47" s="327" t="s">
        <v>614</v>
      </c>
      <c r="C47" s="269"/>
      <c r="D47" s="770"/>
      <c r="E47" s="763">
        <f>+D45+D46</f>
        <v>688326</v>
      </c>
      <c r="F47" s="770"/>
      <c r="G47" s="763">
        <f>+F45+F46</f>
        <v>0</v>
      </c>
      <c r="H47" s="724"/>
      <c r="I47" s="724"/>
    </row>
    <row r="48" spans="2:9">
      <c r="B48" s="327"/>
      <c r="C48" s="269"/>
      <c r="D48" s="770"/>
      <c r="E48" s="763"/>
      <c r="F48" s="770"/>
      <c r="G48" s="763"/>
      <c r="H48" s="724"/>
      <c r="I48" s="724"/>
    </row>
    <row r="49" spans="2:9">
      <c r="B49" s="327" t="s">
        <v>949</v>
      </c>
      <c r="C49" s="269"/>
      <c r="D49" s="770">
        <f>'BS &amp; Notes 2014-15'!D48</f>
        <v>0</v>
      </c>
      <c r="E49" s="763"/>
      <c r="F49" s="770">
        <f>'BS &amp; Notes 2013-14'!D48</f>
        <v>0</v>
      </c>
      <c r="G49" s="763"/>
      <c r="H49" s="724"/>
      <c r="I49" s="724"/>
    </row>
    <row r="50" spans="2:9" ht="11.25" thickBot="1">
      <c r="B50" s="327" t="s">
        <v>950</v>
      </c>
      <c r="C50" s="269"/>
      <c r="D50" s="771">
        <f>'BS &amp; Notes 2014-15'!D49</f>
        <v>100000000</v>
      </c>
      <c r="E50" s="763"/>
      <c r="F50" s="771">
        <f>'BS &amp; Notes 2013-14'!D49</f>
        <v>0</v>
      </c>
      <c r="G50" s="763"/>
      <c r="H50" s="724"/>
      <c r="I50" s="724"/>
    </row>
    <row r="51" spans="2:9">
      <c r="B51" s="327"/>
      <c r="C51" s="269"/>
      <c r="D51" s="770">
        <f>D49+D50</f>
        <v>100000000</v>
      </c>
      <c r="E51" s="763"/>
      <c r="F51" s="770">
        <f>+F49+F50</f>
        <v>0</v>
      </c>
      <c r="G51" s="763"/>
      <c r="H51" s="724"/>
      <c r="I51" s="724"/>
    </row>
    <row r="52" spans="2:9" ht="11.25" thickBot="1">
      <c r="B52" s="327" t="s">
        <v>951</v>
      </c>
      <c r="C52" s="269"/>
      <c r="D52" s="771">
        <f>'BS &amp; Notes 2014-15'!D51</f>
        <v>0</v>
      </c>
      <c r="E52" s="763"/>
      <c r="F52" s="771">
        <f>'BS &amp; Notes 2013-14'!D51</f>
        <v>0</v>
      </c>
      <c r="G52" s="763"/>
      <c r="H52" s="724"/>
      <c r="I52" s="724"/>
    </row>
    <row r="53" spans="2:9">
      <c r="B53" s="327" t="s">
        <v>614</v>
      </c>
      <c r="C53" s="269"/>
      <c r="D53" s="770"/>
      <c r="E53" s="763">
        <f>D51-D52</f>
        <v>100000000</v>
      </c>
      <c r="F53" s="770"/>
      <c r="G53" s="763">
        <f>+F51-F52</f>
        <v>0</v>
      </c>
      <c r="H53" s="724"/>
      <c r="I53" s="724"/>
    </row>
    <row r="54" spans="2:9">
      <c r="B54" s="327"/>
      <c r="C54" s="269"/>
      <c r="D54" s="770"/>
      <c r="E54" s="763"/>
      <c r="F54" s="770"/>
      <c r="G54" s="763"/>
      <c r="H54" s="762"/>
      <c r="I54" s="762"/>
    </row>
    <row r="55" spans="2:9" ht="21">
      <c r="B55" s="337" t="s">
        <v>1199</v>
      </c>
      <c r="C55" s="269"/>
      <c r="D55" s="770">
        <f>'BS &amp; Notes 2014-15'!D54</f>
        <v>0</v>
      </c>
      <c r="E55" s="763"/>
      <c r="F55" s="770">
        <f>'BS &amp; Notes 2013-14'!D54</f>
        <v>0</v>
      </c>
      <c r="G55" s="763"/>
      <c r="H55" s="762"/>
      <c r="I55" s="762"/>
    </row>
    <row r="56" spans="2:9" ht="11.25" thickBot="1">
      <c r="B56" s="337" t="s">
        <v>950</v>
      </c>
      <c r="C56" s="269"/>
      <c r="D56" s="771">
        <f>'BS &amp; Notes 2014-15'!D55</f>
        <v>0</v>
      </c>
      <c r="E56" s="763"/>
      <c r="F56" s="771">
        <f>'BS &amp; Notes 2013-14'!D55</f>
        <v>0</v>
      </c>
      <c r="G56" s="763"/>
      <c r="H56" s="762"/>
      <c r="I56" s="762"/>
    </row>
    <row r="57" spans="2:9">
      <c r="B57" s="337"/>
      <c r="C57" s="269"/>
      <c r="D57" s="770">
        <f>+D55+D56</f>
        <v>0</v>
      </c>
      <c r="E57" s="763"/>
      <c r="F57" s="770">
        <f>+F55+F56</f>
        <v>0</v>
      </c>
      <c r="G57" s="763"/>
      <c r="H57" s="762"/>
      <c r="I57" s="762"/>
    </row>
    <row r="58" spans="2:9" ht="11.25" thickBot="1">
      <c r="B58" s="337" t="s">
        <v>951</v>
      </c>
      <c r="C58" s="269"/>
      <c r="D58" s="771">
        <f>'BS &amp; Notes 2014-15'!D57</f>
        <v>0</v>
      </c>
      <c r="E58" s="763"/>
      <c r="F58" s="771">
        <f>'BS &amp; Notes 2013-14'!D57</f>
        <v>0</v>
      </c>
      <c r="G58" s="763"/>
      <c r="H58" s="762"/>
      <c r="I58" s="762"/>
    </row>
    <row r="59" spans="2:9">
      <c r="B59" s="337" t="s">
        <v>614</v>
      </c>
      <c r="C59" s="269"/>
      <c r="D59" s="770"/>
      <c r="E59" s="763">
        <f>+D57-D58</f>
        <v>0</v>
      </c>
      <c r="F59" s="770"/>
      <c r="G59" s="763">
        <f>+F57-F58</f>
        <v>0</v>
      </c>
      <c r="H59" s="762"/>
      <c r="I59" s="762"/>
    </row>
    <row r="60" spans="2:9">
      <c r="B60" s="337"/>
      <c r="C60" s="269"/>
      <c r="D60" s="770"/>
      <c r="E60" s="763"/>
      <c r="F60" s="770"/>
      <c r="G60" s="763"/>
      <c r="H60" s="762"/>
      <c r="I60" s="762"/>
    </row>
    <row r="61" spans="2:9" ht="21">
      <c r="B61" s="337" t="s">
        <v>1194</v>
      </c>
      <c r="C61" s="269"/>
      <c r="D61" s="770">
        <f>'BS &amp; Notes 2014-15'!D60</f>
        <v>0</v>
      </c>
      <c r="E61" s="763"/>
      <c r="F61" s="770">
        <f>'BS &amp; Notes 2013-14'!D60</f>
        <v>0</v>
      </c>
      <c r="G61" s="763"/>
      <c r="H61" s="762"/>
      <c r="I61" s="762"/>
    </row>
    <row r="62" spans="2:9" ht="11.25" thickBot="1">
      <c r="B62" s="337" t="s">
        <v>950</v>
      </c>
      <c r="C62" s="269"/>
      <c r="D62" s="771">
        <f>'BS &amp; Notes 2014-15'!D61</f>
        <v>0</v>
      </c>
      <c r="E62" s="763"/>
      <c r="F62" s="771">
        <f>'BS &amp; Notes 2013-14'!D61</f>
        <v>0</v>
      </c>
      <c r="G62" s="763"/>
      <c r="H62" s="762"/>
      <c r="I62" s="762"/>
    </row>
    <row r="63" spans="2:9">
      <c r="B63" s="337"/>
      <c r="C63" s="269"/>
      <c r="D63" s="770">
        <f>+D61+D62</f>
        <v>0</v>
      </c>
      <c r="E63" s="763"/>
      <c r="F63" s="770">
        <f>+F61+F62</f>
        <v>0</v>
      </c>
      <c r="G63" s="763"/>
      <c r="H63" s="762"/>
      <c r="I63" s="762"/>
    </row>
    <row r="64" spans="2:9" ht="11.25" thickBot="1">
      <c r="B64" s="337" t="s">
        <v>951</v>
      </c>
      <c r="C64" s="269"/>
      <c r="D64" s="771">
        <f>'BS &amp; Notes 2014-15'!D63</f>
        <v>0</v>
      </c>
      <c r="E64" s="763"/>
      <c r="F64" s="771">
        <f>'BS &amp; Notes 2013-14'!D63</f>
        <v>0</v>
      </c>
      <c r="G64" s="763"/>
      <c r="H64" s="762"/>
      <c r="I64" s="762"/>
    </row>
    <row r="65" spans="2:9">
      <c r="B65" s="337" t="s">
        <v>614</v>
      </c>
      <c r="C65" s="269"/>
      <c r="D65" s="770"/>
      <c r="E65" s="763">
        <f>+D63-D64</f>
        <v>0</v>
      </c>
      <c r="F65" s="770"/>
      <c r="G65" s="763">
        <f>+F63-F64</f>
        <v>0</v>
      </c>
      <c r="H65" s="762"/>
      <c r="I65" s="762"/>
    </row>
    <row r="66" spans="2:9">
      <c r="B66" s="337"/>
      <c r="C66" s="269"/>
      <c r="D66" s="770"/>
      <c r="E66" s="763"/>
      <c r="F66" s="770"/>
      <c r="G66" s="763"/>
      <c r="H66" s="818"/>
      <c r="I66" s="818"/>
    </row>
    <row r="67" spans="2:9" ht="21">
      <c r="B67" s="337" t="s">
        <v>1218</v>
      </c>
      <c r="C67" s="269"/>
      <c r="D67" s="770">
        <f>'BS &amp; Notes 2014-15'!D66</f>
        <v>0</v>
      </c>
      <c r="E67" s="763"/>
      <c r="F67" s="770">
        <f>'BS &amp; Notes 2013-14'!D66</f>
        <v>0</v>
      </c>
      <c r="G67" s="763"/>
      <c r="H67" s="818"/>
      <c r="I67" s="818"/>
    </row>
    <row r="68" spans="2:9" ht="11.25" thickBot="1">
      <c r="B68" s="337" t="s">
        <v>718</v>
      </c>
      <c r="C68" s="269"/>
      <c r="D68" s="771">
        <f>'BS &amp; Notes 2014-15'!D67</f>
        <v>0</v>
      </c>
      <c r="E68" s="763"/>
      <c r="F68" s="771">
        <f>'BS &amp; Notes 2013-14'!D67</f>
        <v>0</v>
      </c>
      <c r="G68" s="763"/>
      <c r="H68" s="818"/>
      <c r="I68" s="818"/>
    </row>
    <row r="69" spans="2:9">
      <c r="B69" s="337"/>
      <c r="C69" s="269"/>
      <c r="D69" s="770">
        <f>+D67+D68</f>
        <v>0</v>
      </c>
      <c r="E69" s="763"/>
      <c r="F69" s="770">
        <f>+F67+F68</f>
        <v>0</v>
      </c>
      <c r="G69" s="763"/>
      <c r="H69" s="818"/>
      <c r="I69" s="818"/>
    </row>
    <row r="70" spans="2:9" ht="11.25" thickBot="1">
      <c r="B70" s="337" t="s">
        <v>719</v>
      </c>
      <c r="C70" s="269"/>
      <c r="D70" s="771">
        <f>'BS &amp; Notes 2014-15'!D69</f>
        <v>0</v>
      </c>
      <c r="E70" s="763"/>
      <c r="F70" s="771">
        <f>'BS &amp; Notes 2013-14'!D69</f>
        <v>0</v>
      </c>
      <c r="G70" s="763"/>
      <c r="H70" s="818"/>
      <c r="I70" s="818"/>
    </row>
    <row r="71" spans="2:9">
      <c r="B71" s="337" t="s">
        <v>614</v>
      </c>
      <c r="C71" s="269"/>
      <c r="D71" s="770"/>
      <c r="E71" s="763">
        <f>+D69-D70</f>
        <v>0</v>
      </c>
      <c r="F71" s="770"/>
      <c r="G71" s="763">
        <f>+F69-F70</f>
        <v>0</v>
      </c>
      <c r="H71" s="818"/>
      <c r="I71" s="818"/>
    </row>
    <row r="72" spans="2:9" ht="11.25" thickBot="1">
      <c r="B72" s="337"/>
      <c r="C72" s="269"/>
      <c r="D72" s="770"/>
      <c r="E72" s="763"/>
      <c r="F72" s="770"/>
      <c r="G72" s="763"/>
      <c r="H72" s="762"/>
      <c r="I72" s="762"/>
    </row>
    <row r="73" spans="2:9" ht="11.25" thickBot="1">
      <c r="B73" s="323" t="s">
        <v>1195</v>
      </c>
      <c r="C73" s="269"/>
      <c r="D73" s="772"/>
      <c r="E73" s="764">
        <f>SUM(E44:E72)</f>
        <v>100688326</v>
      </c>
      <c r="F73" s="772"/>
      <c r="G73" s="764">
        <f>SUM(G44:G72)</f>
        <v>0</v>
      </c>
      <c r="H73" s="762"/>
      <c r="I73" s="762"/>
    </row>
    <row r="74" spans="2:9">
      <c r="B74" s="721" t="s">
        <v>720</v>
      </c>
      <c r="C74" s="269"/>
      <c r="D74" s="770"/>
      <c r="E74" s="763"/>
      <c r="F74" s="770"/>
      <c r="G74" s="763"/>
      <c r="H74" s="724"/>
      <c r="I74" s="724"/>
    </row>
    <row r="75" spans="2:9">
      <c r="B75" s="327" t="s">
        <v>952</v>
      </c>
      <c r="C75" s="269"/>
      <c r="D75" s="770">
        <f>'BS &amp; Notes 2014-15'!D74</f>
        <v>0</v>
      </c>
      <c r="E75" s="763"/>
      <c r="F75" s="770">
        <f>'BS &amp; Notes 2013-14'!D74</f>
        <v>0</v>
      </c>
      <c r="G75" s="763"/>
      <c r="H75" s="724"/>
      <c r="I75" s="724"/>
    </row>
    <row r="76" spans="2:9" ht="21">
      <c r="B76" s="327" t="s">
        <v>953</v>
      </c>
      <c r="C76" s="269"/>
      <c r="D76" s="262">
        <f>'BS &amp; Notes 2014-15'!D75</f>
        <v>479082693</v>
      </c>
      <c r="E76" s="763"/>
      <c r="F76" s="262">
        <f>'BS &amp; Notes 2013-14'!D75</f>
        <v>0</v>
      </c>
      <c r="G76" s="763"/>
      <c r="H76" s="724"/>
      <c r="I76" s="724"/>
    </row>
    <row r="77" spans="2:9" ht="21">
      <c r="B77" s="810" t="s">
        <v>1213</v>
      </c>
      <c r="C77" s="269"/>
      <c r="D77" s="262">
        <f>'BS &amp; Notes 2014-15'!D76</f>
        <v>0</v>
      </c>
      <c r="E77" s="763"/>
      <c r="F77" s="262">
        <f>'BS &amp; Notes 2013-14'!D76</f>
        <v>0</v>
      </c>
      <c r="G77" s="763"/>
      <c r="H77" s="809"/>
      <c r="I77" s="809"/>
    </row>
    <row r="78" spans="2:9" ht="11.25" thickBot="1">
      <c r="B78" s="810" t="s">
        <v>1265</v>
      </c>
      <c r="C78" s="269"/>
      <c r="D78" s="264">
        <f>'BS &amp; Notes 2014-15'!D77</f>
        <v>-4970413</v>
      </c>
      <c r="E78" s="763"/>
      <c r="F78" s="811">
        <f>'BS &amp; Notes 2013-14'!D77</f>
        <v>0</v>
      </c>
      <c r="G78" s="763"/>
      <c r="H78" s="809"/>
      <c r="I78" s="809"/>
    </row>
    <row r="79" spans="2:9">
      <c r="B79" s="327" t="s">
        <v>721</v>
      </c>
      <c r="C79" s="269"/>
      <c r="D79" s="262">
        <f>SUM(D75:D78)</f>
        <v>474112280</v>
      </c>
      <c r="E79" s="763"/>
      <c r="F79" s="262">
        <f>SUM(F75:F78)</f>
        <v>0</v>
      </c>
      <c r="G79" s="763"/>
      <c r="H79" s="724"/>
      <c r="I79" s="724"/>
    </row>
    <row r="80" spans="2:9">
      <c r="B80" s="767" t="s">
        <v>1196</v>
      </c>
      <c r="C80" s="269"/>
      <c r="D80" s="262"/>
      <c r="E80" s="763"/>
      <c r="F80" s="770"/>
      <c r="G80" s="763"/>
      <c r="H80" s="762"/>
      <c r="I80" s="762"/>
    </row>
    <row r="81" spans="2:9">
      <c r="B81" s="327" t="s">
        <v>954</v>
      </c>
      <c r="C81" s="269"/>
      <c r="D81" s="770">
        <f>'BS &amp; Notes 2014-15'!D80</f>
        <v>250000000</v>
      </c>
      <c r="E81" s="763"/>
      <c r="F81" s="770">
        <f>'BS &amp; Notes 2013-14'!D80</f>
        <v>0</v>
      </c>
      <c r="G81" s="763"/>
      <c r="H81" s="724"/>
      <c r="I81" s="724"/>
    </row>
    <row r="82" spans="2:9">
      <c r="B82" s="327" t="s">
        <v>955</v>
      </c>
      <c r="C82" s="269"/>
      <c r="D82" s="770">
        <f>'BS &amp; Notes 2014-15'!D81</f>
        <v>50894125</v>
      </c>
      <c r="E82" s="763"/>
      <c r="F82" s="770">
        <f>'BS &amp; Notes 2013-14'!D81</f>
        <v>0</v>
      </c>
      <c r="G82" s="763"/>
      <c r="H82" s="724"/>
      <c r="I82" s="724"/>
    </row>
    <row r="83" spans="2:9">
      <c r="B83" s="327" t="s">
        <v>844</v>
      </c>
      <c r="C83" s="269"/>
      <c r="D83" s="770">
        <f>'BS &amp; Notes 2014-15'!D82</f>
        <v>100000000</v>
      </c>
      <c r="E83" s="763"/>
      <c r="F83" s="770">
        <f>'BS &amp; Notes 2013-14'!D82</f>
        <v>0</v>
      </c>
      <c r="G83" s="763"/>
      <c r="H83" s="762"/>
      <c r="I83" s="762"/>
    </row>
    <row r="84" spans="2:9">
      <c r="B84" s="327" t="s">
        <v>1192</v>
      </c>
      <c r="C84" s="269"/>
      <c r="D84" s="770">
        <f>'BS &amp; Notes 2014-15'!D83</f>
        <v>0</v>
      </c>
      <c r="E84" s="763"/>
      <c r="F84" s="770">
        <f>'BS &amp; Notes 2013-14'!D83</f>
        <v>0</v>
      </c>
      <c r="G84" s="763"/>
      <c r="H84" s="762"/>
      <c r="I84" s="762"/>
    </row>
    <row r="85" spans="2:9">
      <c r="B85" s="327" t="s">
        <v>1193</v>
      </c>
      <c r="C85" s="269"/>
      <c r="D85" s="770">
        <f>'BS &amp; Notes 2014-15'!D84</f>
        <v>0</v>
      </c>
      <c r="E85" s="763"/>
      <c r="F85" s="770">
        <f>'BS &amp; Notes 2013-14'!D84</f>
        <v>0</v>
      </c>
      <c r="G85" s="763"/>
      <c r="H85" s="724"/>
      <c r="I85" s="724"/>
    </row>
    <row r="86" spans="2:9">
      <c r="B86" s="327" t="s">
        <v>1219</v>
      </c>
      <c r="C86" s="269"/>
      <c r="D86" s="770">
        <f>'BS &amp; Notes 2014-15'!D85</f>
        <v>0</v>
      </c>
      <c r="E86" s="763"/>
      <c r="F86" s="770">
        <f>'BS &amp; Notes 2013-14'!D85</f>
        <v>0</v>
      </c>
      <c r="G86" s="763"/>
      <c r="H86" s="818"/>
      <c r="I86" s="818"/>
    </row>
    <row r="87" spans="2:9" ht="11.25" thickBot="1">
      <c r="B87" s="463" t="s">
        <v>1197</v>
      </c>
      <c r="C87" s="269"/>
      <c r="D87" s="770"/>
      <c r="E87" s="263">
        <f>D79-D81-D82-D83-D84-D85-D86</f>
        <v>73218155</v>
      </c>
      <c r="F87" s="770"/>
      <c r="G87" s="263">
        <f>F79-F81-F82-F83-F84-F85-F86</f>
        <v>0</v>
      </c>
      <c r="H87" s="724"/>
      <c r="I87" s="724"/>
    </row>
    <row r="88" spans="2:9" ht="11.25" thickBot="1">
      <c r="B88" s="323"/>
      <c r="C88" s="269"/>
      <c r="D88" s="772"/>
      <c r="E88" s="764"/>
      <c r="F88" s="772"/>
      <c r="G88" s="764"/>
      <c r="H88" s="724"/>
      <c r="I88" s="724"/>
    </row>
    <row r="89" spans="2:9" ht="11.25" thickBot="1">
      <c r="B89" s="564" t="s">
        <v>860</v>
      </c>
      <c r="C89" s="718"/>
      <c r="D89" s="771"/>
      <c r="E89" s="765">
        <f>+E87+E73</f>
        <v>173906481</v>
      </c>
      <c r="F89" s="771"/>
      <c r="G89" s="765">
        <f>G87+G73</f>
        <v>0</v>
      </c>
      <c r="H89" s="724"/>
      <c r="I89" s="724"/>
    </row>
    <row r="90" spans="2:9" ht="11.25" thickBot="1">
      <c r="D90" s="772"/>
      <c r="E90" s="764"/>
      <c r="F90" s="773"/>
      <c r="G90" s="764"/>
    </row>
    <row r="91" spans="2:9">
      <c r="B91" s="1" t="s">
        <v>858</v>
      </c>
    </row>
    <row r="93" spans="2:9">
      <c r="B93" s="830" t="s">
        <v>1056</v>
      </c>
      <c r="C93" s="831"/>
      <c r="D93" s="831"/>
      <c r="E93" s="831"/>
      <c r="F93" s="831"/>
      <c r="G93" s="831"/>
    </row>
    <row r="94" spans="2:9" ht="12" thickBot="1">
      <c r="B94" s="831"/>
      <c r="C94" s="831"/>
      <c r="D94" s="831"/>
      <c r="E94" s="831"/>
      <c r="F94" s="831"/>
      <c r="G94" s="832" t="s">
        <v>1263</v>
      </c>
    </row>
    <row r="95" spans="2:9" ht="15.75" customHeight="1" thickBot="1">
      <c r="B95" s="833"/>
      <c r="C95" s="834"/>
      <c r="D95" s="1539" t="s">
        <v>1225</v>
      </c>
      <c r="E95" s="1540"/>
      <c r="F95" s="1539" t="s">
        <v>1204</v>
      </c>
      <c r="G95" s="1540"/>
    </row>
    <row r="96" spans="2:9">
      <c r="B96" s="835" t="s">
        <v>1057</v>
      </c>
      <c r="C96" s="836"/>
      <c r="D96" s="837"/>
      <c r="E96" s="838"/>
      <c r="F96" s="839"/>
      <c r="G96" s="838"/>
    </row>
    <row r="97" spans="2:7">
      <c r="B97" s="840" t="s">
        <v>1058</v>
      </c>
      <c r="C97" s="838"/>
      <c r="D97" s="837"/>
      <c r="E97" s="838"/>
      <c r="F97" s="839"/>
      <c r="G97" s="838"/>
    </row>
    <row r="98" spans="2:7">
      <c r="B98" s="841" t="s">
        <v>1059</v>
      </c>
      <c r="C98" s="838"/>
      <c r="D98" s="842">
        <f>'BS &amp; Notes 2014-15'!D98</f>
        <v>0</v>
      </c>
      <c r="E98" s="838"/>
      <c r="F98" s="843"/>
      <c r="G98" s="844"/>
    </row>
    <row r="99" spans="2:7" ht="11.25" thickBot="1">
      <c r="B99" s="841" t="s">
        <v>1060</v>
      </c>
      <c r="C99" s="838"/>
      <c r="D99" s="845">
        <f>'BS &amp; Notes 2014-15'!D99</f>
        <v>0</v>
      </c>
      <c r="E99" s="844">
        <f>+SUM(D98:D99)</f>
        <v>0</v>
      </c>
      <c r="F99" s="845"/>
      <c r="G99" s="844">
        <f>+SUM(F98:F99)</f>
        <v>0</v>
      </c>
    </row>
    <row r="100" spans="2:7">
      <c r="B100" s="840"/>
      <c r="C100" s="838"/>
      <c r="D100" s="842"/>
      <c r="E100" s="844"/>
      <c r="F100" s="843"/>
      <c r="G100" s="844"/>
    </row>
    <row r="101" spans="2:7">
      <c r="B101" s="840" t="s">
        <v>1061</v>
      </c>
      <c r="C101" s="838"/>
      <c r="D101" s="842"/>
      <c r="E101" s="844"/>
      <c r="F101" s="843"/>
      <c r="G101" s="844"/>
    </row>
    <row r="102" spans="2:7">
      <c r="B102" s="841" t="s">
        <v>1059</v>
      </c>
      <c r="C102" s="838"/>
      <c r="D102" s="842">
        <f>'BS &amp; Notes 2014-15'!D102</f>
        <v>0</v>
      </c>
      <c r="E102" s="844"/>
      <c r="F102" s="843"/>
      <c r="G102" s="844"/>
    </row>
    <row r="103" spans="2:7" ht="11.25" thickBot="1">
      <c r="B103" s="841" t="s">
        <v>1060</v>
      </c>
      <c r="C103" s="838"/>
      <c r="D103" s="845">
        <f>'BS &amp; Notes 2014-15'!D103</f>
        <v>0</v>
      </c>
      <c r="E103" s="844">
        <f>+SUM(D102:D103)</f>
        <v>0</v>
      </c>
      <c r="F103" s="845"/>
      <c r="G103" s="844">
        <f>+SUM(F102:F103)</f>
        <v>0</v>
      </c>
    </row>
    <row r="104" spans="2:7">
      <c r="B104" s="840"/>
      <c r="C104" s="838"/>
      <c r="D104" s="842"/>
      <c r="E104" s="844"/>
      <c r="F104" s="843"/>
      <c r="G104" s="844"/>
    </row>
    <row r="105" spans="2:7">
      <c r="B105" s="846" t="s">
        <v>1062</v>
      </c>
      <c r="C105" s="838"/>
      <c r="D105" s="842"/>
      <c r="E105" s="844"/>
      <c r="F105" s="843"/>
      <c r="G105" s="844"/>
    </row>
    <row r="106" spans="2:7">
      <c r="B106" s="841" t="s">
        <v>1059</v>
      </c>
      <c r="C106" s="838"/>
      <c r="D106" s="842">
        <f>'BS &amp; Notes 2014-15'!D106</f>
        <v>0</v>
      </c>
      <c r="E106" s="844"/>
      <c r="F106" s="843"/>
      <c r="G106" s="844"/>
    </row>
    <row r="107" spans="2:7" ht="11.25" thickBot="1">
      <c r="B107" s="841" t="s">
        <v>1060</v>
      </c>
      <c r="C107" s="838"/>
      <c r="D107" s="845">
        <f>'BS &amp; Notes 2014-15'!D107</f>
        <v>0</v>
      </c>
      <c r="E107" s="844">
        <f>+SUM(D106:D107)</f>
        <v>0</v>
      </c>
      <c r="F107" s="845"/>
      <c r="G107" s="844">
        <f>+SUM(F106:F107)</f>
        <v>0</v>
      </c>
    </row>
    <row r="108" spans="2:7">
      <c r="B108" s="841"/>
      <c r="C108" s="838"/>
      <c r="D108" s="842"/>
      <c r="E108" s="844"/>
      <c r="F108" s="843"/>
      <c r="G108" s="844"/>
    </row>
    <row r="109" spans="2:7">
      <c r="B109" s="846" t="s">
        <v>1063</v>
      </c>
      <c r="C109" s="838"/>
      <c r="D109" s="842"/>
      <c r="E109" s="838"/>
      <c r="F109" s="843"/>
      <c r="G109" s="844"/>
    </row>
    <row r="110" spans="2:7">
      <c r="B110" s="841" t="s">
        <v>1059</v>
      </c>
      <c r="C110" s="838"/>
      <c r="D110" s="842">
        <f>'BS &amp; Notes 2014-15'!D110</f>
        <v>0</v>
      </c>
      <c r="E110" s="838"/>
      <c r="F110" s="843"/>
      <c r="G110" s="844"/>
    </row>
    <row r="111" spans="2:7" ht="11.25" thickBot="1">
      <c r="B111" s="841" t="s">
        <v>1060</v>
      </c>
      <c r="C111" s="838"/>
      <c r="D111" s="847">
        <f>'BS &amp; Notes 2014-15'!D111</f>
        <v>0</v>
      </c>
      <c r="E111" s="838">
        <f>+SUM(D110:D111)</f>
        <v>0</v>
      </c>
      <c r="F111" s="847"/>
      <c r="G111" s="838">
        <f>+SUM(F110:F111)</f>
        <v>0</v>
      </c>
    </row>
    <row r="112" spans="2:7">
      <c r="B112" s="840"/>
      <c r="C112" s="838"/>
      <c r="D112" s="837"/>
      <c r="E112" s="838"/>
      <c r="F112" s="839"/>
      <c r="G112" s="838"/>
    </row>
    <row r="113" spans="2:7" ht="15" customHeight="1">
      <c r="B113" s="846" t="s">
        <v>1064</v>
      </c>
      <c r="C113" s="838"/>
      <c r="D113" s="837"/>
      <c r="E113" s="838"/>
      <c r="F113" s="839"/>
      <c r="G113" s="838"/>
    </row>
    <row r="114" spans="2:7">
      <c r="B114" s="841" t="s">
        <v>1059</v>
      </c>
      <c r="C114" s="838"/>
      <c r="D114" s="842">
        <f>'BS &amp; Notes 2014-15'!D114</f>
        <v>0</v>
      </c>
      <c r="E114" s="838"/>
      <c r="F114" s="843"/>
      <c r="G114" s="844"/>
    </row>
    <row r="115" spans="2:7" ht="11.25" thickBot="1">
      <c r="B115" s="841" t="s">
        <v>1060</v>
      </c>
      <c r="C115" s="838"/>
      <c r="D115" s="845">
        <f>'BS &amp; Notes 2014-15'!D115</f>
        <v>0</v>
      </c>
      <c r="E115" s="844">
        <f>+SUM(D114:D115)</f>
        <v>0</v>
      </c>
      <c r="F115" s="845"/>
      <c r="G115" s="844">
        <f>+SUM(F114:F115)</f>
        <v>0</v>
      </c>
    </row>
    <row r="116" spans="2:7">
      <c r="B116" s="840"/>
      <c r="C116" s="838"/>
      <c r="D116" s="842"/>
      <c r="E116" s="844"/>
      <c r="F116" s="843"/>
      <c r="G116" s="844"/>
    </row>
    <row r="117" spans="2:7">
      <c r="B117" s="846" t="s">
        <v>1065</v>
      </c>
      <c r="C117" s="838"/>
      <c r="D117" s="842"/>
      <c r="E117" s="844"/>
      <c r="F117" s="843"/>
      <c r="G117" s="844"/>
    </row>
    <row r="118" spans="2:7">
      <c r="B118" s="841" t="s">
        <v>1059</v>
      </c>
      <c r="C118" s="838"/>
      <c r="D118" s="842">
        <f>'BS &amp; Notes 2014-15'!D118</f>
        <v>0</v>
      </c>
      <c r="E118" s="844"/>
      <c r="F118" s="843"/>
      <c r="G118" s="844"/>
    </row>
    <row r="119" spans="2:7" ht="11.25" thickBot="1">
      <c r="B119" s="841" t="s">
        <v>1060</v>
      </c>
      <c r="C119" s="838"/>
      <c r="D119" s="845">
        <f>'BS &amp; Notes 2014-15'!D119</f>
        <v>0</v>
      </c>
      <c r="E119" s="844">
        <f>+SUM(D118:D119)</f>
        <v>0</v>
      </c>
      <c r="F119" s="845"/>
      <c r="G119" s="844">
        <f>+SUM(F118:F119)</f>
        <v>0</v>
      </c>
    </row>
    <row r="120" spans="2:7">
      <c r="B120" s="840"/>
      <c r="C120" s="838"/>
      <c r="D120" s="842"/>
      <c r="E120" s="838"/>
      <c r="F120" s="843"/>
      <c r="G120" s="844"/>
    </row>
    <row r="121" spans="2:7">
      <c r="B121" s="848" t="s">
        <v>859</v>
      </c>
      <c r="C121" s="838"/>
      <c r="D121" s="842"/>
      <c r="E121" s="838"/>
      <c r="F121" s="843"/>
      <c r="G121" s="844"/>
    </row>
    <row r="122" spans="2:7">
      <c r="B122" s="841" t="s">
        <v>1059</v>
      </c>
      <c r="C122" s="838"/>
      <c r="D122" s="842">
        <f>+D98+D102+D106+D110+D114+D118</f>
        <v>0</v>
      </c>
      <c r="E122" s="838"/>
      <c r="F122" s="842"/>
      <c r="G122" s="844"/>
    </row>
    <row r="123" spans="2:7" ht="11.25" thickBot="1">
      <c r="B123" s="841" t="s">
        <v>1060</v>
      </c>
      <c r="C123" s="838"/>
      <c r="D123" s="837">
        <f>+D99+D103+D107+D111+D115+D119</f>
        <v>0</v>
      </c>
      <c r="E123" s="838">
        <f>+D122+D123</f>
        <v>0</v>
      </c>
      <c r="F123" s="837"/>
      <c r="G123" s="838">
        <f>+F122+F123</f>
        <v>0</v>
      </c>
    </row>
    <row r="124" spans="2:7" ht="11.25" thickBot="1">
      <c r="B124" s="849" t="s">
        <v>860</v>
      </c>
      <c r="C124" s="850"/>
      <c r="D124" s="833"/>
      <c r="E124" s="851">
        <f>+E123</f>
        <v>0</v>
      </c>
      <c r="F124" s="852"/>
      <c r="G124" s="851">
        <f>+G123</f>
        <v>0</v>
      </c>
    </row>
    <row r="125" spans="2:7">
      <c r="B125" s="831"/>
      <c r="C125" s="831"/>
      <c r="D125" s="831"/>
      <c r="E125" s="831"/>
      <c r="F125" s="831"/>
      <c r="G125" s="831"/>
    </row>
    <row r="126" spans="2:7">
      <c r="B126" s="830" t="s">
        <v>871</v>
      </c>
      <c r="C126" s="831"/>
      <c r="D126" s="831"/>
      <c r="E126" s="831"/>
      <c r="F126" s="831"/>
      <c r="G126" s="831"/>
    </row>
    <row r="127" spans="2:7">
      <c r="B127" s="831"/>
      <c r="C127" s="831"/>
      <c r="D127" s="831"/>
      <c r="E127" s="831"/>
      <c r="F127" s="831"/>
      <c r="G127" s="831"/>
    </row>
    <row r="128" spans="2:7" ht="25.5" customHeight="1">
      <c r="B128" s="1541" t="s">
        <v>872</v>
      </c>
      <c r="C128" s="1541"/>
      <c r="D128" s="1541"/>
      <c r="E128" s="1541"/>
      <c r="F128" s="1541"/>
      <c r="G128" s="1541"/>
    </row>
    <row r="129" spans="1:7">
      <c r="B129" s="831"/>
      <c r="C129" s="831"/>
      <c r="D129" s="831"/>
      <c r="E129" s="831"/>
      <c r="F129" s="831"/>
      <c r="G129" s="831"/>
    </row>
    <row r="130" spans="1:7" ht="11.25" customHeight="1">
      <c r="B130" s="1546" t="s">
        <v>873</v>
      </c>
      <c r="C130" s="1546"/>
      <c r="D130" s="1546"/>
      <c r="E130" s="1546"/>
      <c r="F130" s="1546"/>
      <c r="G130" s="1546"/>
    </row>
    <row r="131" spans="1:7">
      <c r="B131" s="831"/>
      <c r="C131" s="831"/>
      <c r="D131" s="831"/>
      <c r="E131" s="831"/>
      <c r="F131" s="831"/>
      <c r="G131" s="831"/>
    </row>
    <row r="132" spans="1:7" ht="11.25" customHeight="1">
      <c r="B132" s="1546" t="s">
        <v>874</v>
      </c>
      <c r="C132" s="1546"/>
      <c r="D132" s="1546"/>
      <c r="E132" s="1546"/>
      <c r="F132" s="1546"/>
      <c r="G132" s="1546"/>
    </row>
    <row r="134" spans="1:7">
      <c r="A134" s="735"/>
      <c r="B134" s="1" t="s">
        <v>715</v>
      </c>
    </row>
    <row r="135" spans="1:7" ht="12" thickBot="1">
      <c r="G135" s="1" t="s">
        <v>1180</v>
      </c>
    </row>
    <row r="136" spans="1:7" ht="11.25" thickBot="1">
      <c r="B136" s="546"/>
      <c r="C136" s="717"/>
      <c r="D136" s="1431" t="s">
        <v>1225</v>
      </c>
      <c r="E136" s="1432"/>
      <c r="F136" s="1431" t="s">
        <v>1204</v>
      </c>
      <c r="G136" s="1432"/>
    </row>
    <row r="137" spans="1:7">
      <c r="B137" s="72" t="s">
        <v>33</v>
      </c>
      <c r="C137" s="724"/>
      <c r="D137" s="88"/>
      <c r="E137" s="87"/>
      <c r="F137" s="88"/>
      <c r="G137" s="87"/>
    </row>
    <row r="138" spans="1:7">
      <c r="B138" s="72" t="s">
        <v>877</v>
      </c>
      <c r="C138" s="724"/>
      <c r="D138" s="133">
        <f>'BS &amp; Notes 2014-15'!D138</f>
        <v>119870090</v>
      </c>
      <c r="E138" s="87"/>
      <c r="F138" s="770">
        <f>'BS &amp; Notes 2013-14'!D138</f>
        <v>0</v>
      </c>
      <c r="G138" s="87"/>
    </row>
    <row r="139" spans="1:7" ht="11.25" thickBot="1">
      <c r="B139" s="72" t="s">
        <v>878</v>
      </c>
      <c r="C139" s="724"/>
      <c r="D139" s="607">
        <f>'BS &amp; Notes 2014-15'!D139</f>
        <v>0</v>
      </c>
      <c r="E139" s="89">
        <f>+SUM(D138:D139)</f>
        <v>119870090</v>
      </c>
      <c r="F139" s="607">
        <f>'BS &amp; Notes 2013-14'!D139</f>
        <v>0</v>
      </c>
      <c r="G139" s="89">
        <f>+SUM(F138:F139)</f>
        <v>0</v>
      </c>
    </row>
    <row r="140" spans="1:7">
      <c r="B140" s="72" t="s">
        <v>879</v>
      </c>
      <c r="C140" s="724"/>
      <c r="D140" s="72"/>
      <c r="E140" s="89"/>
      <c r="F140" s="72"/>
      <c r="G140" s="89"/>
    </row>
    <row r="141" spans="1:7">
      <c r="B141" s="327" t="s">
        <v>151</v>
      </c>
      <c r="C141" s="724"/>
      <c r="D141" s="133">
        <f>'BS &amp; Notes 2014-15'!D141</f>
        <v>68621541</v>
      </c>
      <c r="E141" s="89"/>
      <c r="F141" s="770">
        <f>'BS &amp; Notes 2013-14'!D141</f>
        <v>0</v>
      </c>
      <c r="G141" s="89"/>
    </row>
    <row r="142" spans="1:7" ht="11.25" thickBot="1">
      <c r="B142" s="327" t="s">
        <v>152</v>
      </c>
      <c r="C142" s="724"/>
      <c r="D142" s="229">
        <f>'BS &amp; Notes 2014-15'!D142</f>
        <v>76145228</v>
      </c>
      <c r="E142" s="89">
        <f>+SUM(D141:D142)</f>
        <v>144766769</v>
      </c>
      <c r="F142" s="229">
        <f>'BS &amp; Notes 2013-14'!D142</f>
        <v>0</v>
      </c>
      <c r="G142" s="89">
        <f>+SUM(F141:F142)</f>
        <v>0</v>
      </c>
    </row>
    <row r="143" spans="1:7" ht="11.25" thickBot="1">
      <c r="B143" s="509" t="s">
        <v>806</v>
      </c>
      <c r="C143" s="718"/>
      <c r="D143" s="75"/>
      <c r="E143" s="567">
        <f>+SUM(E138:E142)</f>
        <v>264636859</v>
      </c>
      <c r="F143" s="93"/>
      <c r="G143" s="567">
        <f>+SUM(G138:G142)</f>
        <v>0</v>
      </c>
    </row>
    <row r="145" spans="2:7" ht="22.5" customHeight="1">
      <c r="B145" s="1437" t="s">
        <v>881</v>
      </c>
      <c r="C145" s="1437"/>
      <c r="D145" s="1437"/>
      <c r="E145" s="1437"/>
      <c r="F145" s="1437"/>
      <c r="G145" s="1437"/>
    </row>
    <row r="147" spans="2:7">
      <c r="B147" s="70" t="s">
        <v>716</v>
      </c>
    </row>
    <row r="148" spans="2:7" ht="11.25" customHeight="1" thickBot="1">
      <c r="G148" s="1" t="s">
        <v>579</v>
      </c>
    </row>
    <row r="149" spans="2:7" ht="11.25" thickBot="1">
      <c r="B149" s="11"/>
      <c r="C149" s="543"/>
      <c r="D149" s="1433" t="s">
        <v>1225</v>
      </c>
      <c r="E149" s="1432"/>
      <c r="F149" s="1431" t="s">
        <v>1204</v>
      </c>
      <c r="G149" s="1432"/>
    </row>
    <row r="150" spans="2:7">
      <c r="B150" s="72"/>
      <c r="C150" s="542"/>
      <c r="D150" s="88"/>
      <c r="E150" s="83"/>
      <c r="F150" s="91"/>
      <c r="G150" s="87"/>
    </row>
    <row r="151" spans="2:7">
      <c r="B151" s="710" t="s">
        <v>1066</v>
      </c>
      <c r="C151" s="542"/>
      <c r="D151" s="72"/>
      <c r="E151" s="87"/>
      <c r="F151" s="90"/>
      <c r="G151" s="87"/>
    </row>
    <row r="152" spans="2:7">
      <c r="B152" s="720" t="s">
        <v>1250</v>
      </c>
      <c r="C152" s="542"/>
      <c r="D152" s="133"/>
      <c r="E152" s="89">
        <f>'BS &amp; Notes 2014-15'!D153</f>
        <v>247922205</v>
      </c>
      <c r="F152" s="770"/>
      <c r="G152" s="89">
        <f>'BS &amp; Notes 2013-14'!D153</f>
        <v>0</v>
      </c>
    </row>
    <row r="153" spans="2:7" ht="11.25" customHeight="1">
      <c r="B153" s="361" t="s">
        <v>1251</v>
      </c>
      <c r="C153" s="542"/>
      <c r="D153" s="133"/>
      <c r="E153" s="89">
        <f>+D154+D155</f>
        <v>1226267595</v>
      </c>
      <c r="F153" s="770"/>
      <c r="G153" s="89">
        <f>'BS &amp; Notes 2013-14'!D154</f>
        <v>0</v>
      </c>
    </row>
    <row r="154" spans="2:7" ht="11.25" customHeight="1">
      <c r="B154" s="720" t="s">
        <v>1252</v>
      </c>
      <c r="C154" s="542"/>
      <c r="D154" s="133">
        <f>'BS &amp; Notes 2014-15'!D154</f>
        <v>723477635</v>
      </c>
      <c r="E154" s="87"/>
      <c r="F154" s="868" t="s">
        <v>819</v>
      </c>
      <c r="G154" s="89"/>
    </row>
    <row r="155" spans="2:7" ht="11.25" customHeight="1">
      <c r="B155" s="720" t="s">
        <v>1253</v>
      </c>
      <c r="C155" s="542"/>
      <c r="D155" s="133">
        <f>'BS &amp; Notes 2014-15'!D155</f>
        <v>502789960</v>
      </c>
      <c r="E155" s="87"/>
      <c r="F155" s="868" t="s">
        <v>819</v>
      </c>
      <c r="G155" s="89"/>
    </row>
    <row r="156" spans="2:7" ht="11.25">
      <c r="B156" s="361" t="s">
        <v>1254</v>
      </c>
      <c r="C156" s="542"/>
      <c r="D156" s="133"/>
      <c r="E156" s="89">
        <f>'BS &amp; Notes 2014-15'!D156</f>
        <v>198444039</v>
      </c>
      <c r="F156" s="770"/>
      <c r="G156" s="89">
        <f>'BS &amp; Notes 2013-14'!D155</f>
        <v>0</v>
      </c>
    </row>
    <row r="157" spans="2:7" ht="11.25">
      <c r="B157" s="361" t="s">
        <v>1255</v>
      </c>
      <c r="C157" s="542"/>
      <c r="D157" s="133"/>
      <c r="E157" s="89">
        <f>'BS &amp; Notes 2014-15'!D157</f>
        <v>47695846</v>
      </c>
      <c r="F157" s="770"/>
      <c r="G157" s="89">
        <f>'BS &amp; Notes 2013-14'!D156</f>
        <v>0</v>
      </c>
    </row>
    <row r="158" spans="2:7" ht="11.25">
      <c r="B158" s="361" t="s">
        <v>1256</v>
      </c>
      <c r="C158" s="542"/>
      <c r="D158" s="133"/>
      <c r="E158" s="89">
        <f>'BS &amp; Notes 2014-15'!D158</f>
        <v>1855540</v>
      </c>
      <c r="F158" s="770"/>
      <c r="G158" s="89">
        <f>'BS &amp; Notes 2013-14'!D157</f>
        <v>0</v>
      </c>
    </row>
    <row r="159" spans="2:7" ht="11.25">
      <c r="B159" s="361" t="s">
        <v>1257</v>
      </c>
      <c r="C159" s="542"/>
      <c r="D159" s="133"/>
      <c r="E159" s="89">
        <f>'BS &amp; Notes 2014-15'!D159</f>
        <v>49050849</v>
      </c>
      <c r="F159" s="133"/>
      <c r="G159" s="89">
        <f>'BS &amp; Notes 2013-14'!D158</f>
        <v>0</v>
      </c>
    </row>
    <row r="160" spans="2:7">
      <c r="B160" s="710"/>
      <c r="C160" s="542"/>
      <c r="D160" s="72"/>
      <c r="E160" s="87"/>
      <c r="F160" s="90"/>
      <c r="G160" s="87"/>
    </row>
    <row r="161" spans="2:7">
      <c r="B161" s="710" t="s">
        <v>1067</v>
      </c>
      <c r="C161" s="542"/>
      <c r="D161" s="72"/>
      <c r="E161" s="89">
        <f>'BS &amp; Notes 2014-15'!E161</f>
        <v>0</v>
      </c>
      <c r="F161" s="90"/>
      <c r="G161" s="763">
        <f>'BS &amp; Notes 2013-14'!E160</f>
        <v>0</v>
      </c>
    </row>
    <row r="162" spans="2:7">
      <c r="B162" s="72"/>
      <c r="C162" s="542"/>
      <c r="D162" s="72"/>
      <c r="E162" s="89"/>
      <c r="F162" s="90"/>
      <c r="G162" s="89"/>
    </row>
    <row r="163" spans="2:7" ht="11.25" thickBot="1">
      <c r="B163" s="509" t="s">
        <v>806</v>
      </c>
      <c r="C163" s="12"/>
      <c r="D163" s="75"/>
      <c r="E163" s="567">
        <f>SUM(E150:E162)</f>
        <v>1771236074</v>
      </c>
      <c r="F163" s="568"/>
      <c r="G163" s="567">
        <f>SUM(G150:G162)</f>
        <v>0</v>
      </c>
    </row>
    <row r="165" spans="2:7">
      <c r="B165" s="70" t="s">
        <v>889</v>
      </c>
    </row>
    <row r="167" spans="2:7">
      <c r="B167" s="70" t="s">
        <v>1068</v>
      </c>
    </row>
    <row r="168" spans="2:7" ht="12" thickBot="1">
      <c r="G168" s="1" t="s">
        <v>1180</v>
      </c>
    </row>
    <row r="169" spans="2:7" ht="11.25" thickBot="1">
      <c r="B169" s="11"/>
      <c r="C169" s="543"/>
      <c r="D169" s="1433" t="s">
        <v>1225</v>
      </c>
      <c r="E169" s="1432"/>
      <c r="F169" s="1431" t="s">
        <v>1204</v>
      </c>
      <c r="G169" s="1432"/>
    </row>
    <row r="170" spans="2:7">
      <c r="B170" s="710" t="s">
        <v>1069</v>
      </c>
      <c r="C170" s="542"/>
      <c r="D170" s="88"/>
      <c r="E170" s="83"/>
      <c r="F170" s="91"/>
      <c r="G170" s="87"/>
    </row>
    <row r="171" spans="2:7">
      <c r="B171" s="710" t="s">
        <v>891</v>
      </c>
      <c r="C171" s="542"/>
      <c r="D171" s="72"/>
      <c r="E171" s="87"/>
      <c r="F171" s="90"/>
      <c r="G171" s="87"/>
    </row>
    <row r="172" spans="2:7" ht="31.5">
      <c r="B172" s="119" t="s">
        <v>144</v>
      </c>
      <c r="C172" s="542"/>
      <c r="D172" s="133">
        <f>'BS &amp; Notes 2014-15'!D172</f>
        <v>1617265569</v>
      </c>
      <c r="E172" s="87"/>
      <c r="F172" s="133">
        <f>'BS &amp; Notes 2013-14'!D171</f>
        <v>0</v>
      </c>
      <c r="G172" s="87"/>
    </row>
    <row r="173" spans="2:7" ht="11.25" thickBot="1">
      <c r="B173" s="119" t="s">
        <v>145</v>
      </c>
      <c r="C173" s="542"/>
      <c r="D173" s="229">
        <f>'BS &amp; Notes 2014-15'!D173</f>
        <v>1249222912</v>
      </c>
      <c r="E173" s="89">
        <f>+SUM(D172:D173)</f>
        <v>2866488481</v>
      </c>
      <c r="F173" s="229">
        <f>'BS &amp; Notes 2013-14'!D172</f>
        <v>0</v>
      </c>
      <c r="G173" s="89">
        <f>+SUM(F172:F173)</f>
        <v>0</v>
      </c>
    </row>
    <row r="174" spans="2:7">
      <c r="B174" s="710"/>
      <c r="C174" s="542"/>
      <c r="D174" s="72"/>
      <c r="E174" s="87"/>
      <c r="F174" s="90"/>
      <c r="G174" s="87"/>
    </row>
    <row r="175" spans="2:7">
      <c r="B175" s="710" t="s">
        <v>1067</v>
      </c>
      <c r="C175" s="542"/>
      <c r="D175" s="72"/>
      <c r="E175" s="604">
        <f>'BS &amp; Notes 2014-15'!E175</f>
        <v>0</v>
      </c>
      <c r="F175" s="90"/>
      <c r="G175" s="604">
        <f>'BS &amp; Notes 2010-11'!E140</f>
        <v>0</v>
      </c>
    </row>
    <row r="176" spans="2:7">
      <c r="B176" s="72"/>
      <c r="C176" s="542"/>
      <c r="D176" s="72"/>
      <c r="E176" s="89"/>
      <c r="F176" s="90"/>
      <c r="G176" s="89"/>
    </row>
    <row r="177" spans="2:7" ht="11.25" thickBot="1">
      <c r="B177" s="710"/>
      <c r="C177" s="542"/>
      <c r="D177" s="72"/>
      <c r="E177" s="89"/>
      <c r="F177" s="90"/>
      <c r="G177" s="89"/>
    </row>
    <row r="178" spans="2:7" ht="11.25" thickBot="1">
      <c r="B178" s="709" t="s">
        <v>806</v>
      </c>
      <c r="C178" s="19"/>
      <c r="D178" s="79"/>
      <c r="E178" s="566">
        <f>SUM(E171:E177)</f>
        <v>2866488481</v>
      </c>
      <c r="F178" s="157"/>
      <c r="G178" s="566">
        <f>SUM(G171:G177)</f>
        <v>0</v>
      </c>
    </row>
    <row r="180" spans="2:7" ht="11.25" customHeight="1">
      <c r="B180" s="1436" t="s">
        <v>873</v>
      </c>
      <c r="C180" s="1436"/>
      <c r="D180" s="1436"/>
      <c r="E180" s="1436"/>
      <c r="F180" s="1436"/>
      <c r="G180" s="1436"/>
    </row>
    <row r="182" spans="2:7" ht="11.25" customHeight="1">
      <c r="B182" s="1436" t="s">
        <v>874</v>
      </c>
      <c r="C182" s="1436"/>
      <c r="D182" s="1436"/>
      <c r="E182" s="1436"/>
      <c r="F182" s="1436"/>
      <c r="G182" s="1436"/>
    </row>
    <row r="184" spans="2:7">
      <c r="B184" s="70" t="s">
        <v>1070</v>
      </c>
    </row>
    <row r="185" spans="2:7" ht="12" thickBot="1">
      <c r="G185" s="1" t="s">
        <v>1180</v>
      </c>
    </row>
    <row r="186" spans="2:7" ht="11.25" thickBot="1">
      <c r="B186" s="11"/>
      <c r="C186" s="717"/>
      <c r="D186" s="1431" t="s">
        <v>1225</v>
      </c>
      <c r="E186" s="1432"/>
      <c r="F186" s="1431" t="s">
        <v>1204</v>
      </c>
      <c r="G186" s="1432"/>
    </row>
    <row r="187" spans="2:7">
      <c r="B187" s="710" t="s">
        <v>893</v>
      </c>
      <c r="C187" s="724"/>
      <c r="D187" s="88"/>
      <c r="E187" s="87"/>
      <c r="F187" s="88"/>
      <c r="G187" s="87"/>
    </row>
    <row r="188" spans="2:7">
      <c r="B188" s="72" t="s">
        <v>896</v>
      </c>
      <c r="C188" s="724"/>
      <c r="D188" s="133">
        <f>'BS &amp; Notes 2014-15'!D188</f>
        <v>31643840201</v>
      </c>
      <c r="E188" s="87"/>
      <c r="F188" s="133">
        <f>'BS &amp; Notes 2013-14'!D187</f>
        <v>0</v>
      </c>
      <c r="G188" s="87"/>
    </row>
    <row r="189" spans="2:7" ht="11.25" thickBot="1">
      <c r="B189" s="72" t="s">
        <v>895</v>
      </c>
      <c r="C189" s="724"/>
      <c r="D189" s="607">
        <f>'BS &amp; Notes 2014-15'!D189</f>
        <v>0</v>
      </c>
      <c r="E189" s="89">
        <f>+SUM(D188:D189)</f>
        <v>31643840201</v>
      </c>
      <c r="F189" s="607">
        <f>'BS &amp; Notes 2013-14'!D188</f>
        <v>0</v>
      </c>
      <c r="G189" s="89">
        <f>+SUM(F188:F189)</f>
        <v>0</v>
      </c>
    </row>
    <row r="190" spans="2:7">
      <c r="B190" s="710" t="s">
        <v>894</v>
      </c>
      <c r="C190" s="724"/>
      <c r="D190" s="72"/>
      <c r="E190" s="89">
        <f>'BS &amp; Notes 2014-15'!E190</f>
        <v>0</v>
      </c>
      <c r="F190" s="72"/>
      <c r="G190" s="89">
        <f>'BS &amp; Notes 2013-14'!E189</f>
        <v>0</v>
      </c>
    </row>
    <row r="191" spans="2:7">
      <c r="B191" s="72"/>
      <c r="C191" s="724"/>
      <c r="D191" s="72"/>
      <c r="E191" s="89"/>
      <c r="F191" s="72"/>
      <c r="G191" s="89"/>
    </row>
    <row r="192" spans="2:7" ht="11.25" thickBot="1">
      <c r="B192" s="510" t="s">
        <v>806</v>
      </c>
      <c r="C192" s="736"/>
      <c r="D192" s="159"/>
      <c r="E192" s="567">
        <f>+E189+E190</f>
        <v>31643840201</v>
      </c>
      <c r="F192" s="159"/>
      <c r="G192" s="567">
        <f>+G189+G190</f>
        <v>0</v>
      </c>
    </row>
    <row r="194" spans="2:7" ht="35.25" customHeight="1">
      <c r="B194" s="1437" t="s">
        <v>897</v>
      </c>
      <c r="C194" s="1437"/>
      <c r="D194" s="1437"/>
      <c r="E194" s="1437"/>
      <c r="F194" s="1437"/>
      <c r="G194" s="1437"/>
    </row>
    <row r="196" spans="2:7" ht="22.5" customHeight="1">
      <c r="B196" s="1437" t="s">
        <v>898</v>
      </c>
      <c r="C196" s="1437"/>
      <c r="D196" s="1437"/>
      <c r="E196" s="1437"/>
      <c r="F196" s="1437"/>
      <c r="G196" s="1437"/>
    </row>
    <row r="198" spans="2:7">
      <c r="B198" s="70" t="s">
        <v>1071</v>
      </c>
    </row>
    <row r="199" spans="2:7" ht="12" thickBot="1">
      <c r="G199" s="1" t="s">
        <v>1180</v>
      </c>
    </row>
    <row r="200" spans="2:7" ht="11.25" thickBot="1">
      <c r="B200" s="6"/>
      <c r="C200" s="717"/>
      <c r="D200" s="1431" t="s">
        <v>1225</v>
      </c>
      <c r="E200" s="1432"/>
      <c r="F200" s="1431" t="s">
        <v>1204</v>
      </c>
      <c r="G200" s="1432"/>
    </row>
    <row r="201" spans="2:7" ht="12" customHeight="1">
      <c r="B201" s="119" t="s">
        <v>1072</v>
      </c>
      <c r="C201" s="542"/>
      <c r="D201" s="351"/>
      <c r="E201" s="233">
        <f>'BS &amp; Notes 2014-15'!E201</f>
        <v>4915554</v>
      </c>
      <c r="F201" s="351"/>
      <c r="G201" s="89">
        <f>'BS &amp; Notes 2013-14'!E200</f>
        <v>0</v>
      </c>
    </row>
    <row r="202" spans="2:7" ht="21">
      <c r="B202" s="119" t="s">
        <v>1073</v>
      </c>
      <c r="C202" s="542"/>
      <c r="D202" s="327"/>
      <c r="E202" s="233">
        <f>'BS &amp; Notes 2014-15'!E202</f>
        <v>3282872</v>
      </c>
      <c r="F202" s="327"/>
      <c r="G202" s="89">
        <f>'BS &amp; Notes 2013-14'!E201</f>
        <v>0</v>
      </c>
    </row>
    <row r="203" spans="2:7">
      <c r="B203" s="119" t="s">
        <v>1074</v>
      </c>
      <c r="C203" s="542"/>
      <c r="D203" s="327"/>
      <c r="E203" s="233">
        <f>'BS &amp; Notes 2014-15'!E203</f>
        <v>0</v>
      </c>
      <c r="F203" s="606"/>
      <c r="G203" s="89">
        <f>'BS &amp; Notes 2013-14'!E202</f>
        <v>0</v>
      </c>
    </row>
    <row r="204" spans="2:7">
      <c r="B204" s="119" t="s">
        <v>1232</v>
      </c>
      <c r="C204" s="542"/>
      <c r="D204" s="327"/>
      <c r="E204" s="233"/>
      <c r="F204" s="606"/>
      <c r="G204" s="89"/>
    </row>
    <row r="205" spans="2:7" ht="15.75" customHeight="1">
      <c r="B205" s="119" t="s">
        <v>1233</v>
      </c>
      <c r="C205" s="542"/>
      <c r="D205" s="395">
        <f>'BS &amp; Notes 2014-15'!D205</f>
        <v>2576903322</v>
      </c>
      <c r="E205" s="233"/>
      <c r="F205" s="133">
        <f>'BS &amp; Notes 2013-14'!D204</f>
        <v>0</v>
      </c>
      <c r="G205" s="89"/>
    </row>
    <row r="206" spans="2:7">
      <c r="B206" s="1440" t="s">
        <v>1203</v>
      </c>
      <c r="C206" s="1441"/>
      <c r="D206" s="527">
        <f>'BS &amp; Notes 2014-15'!D206</f>
        <v>2522614793</v>
      </c>
      <c r="E206" s="233"/>
      <c r="F206" s="828">
        <f>'BS &amp; Notes 2013-14'!D205</f>
        <v>0</v>
      </c>
      <c r="G206" s="89"/>
    </row>
    <row r="207" spans="2:7">
      <c r="B207" s="119"/>
      <c r="C207" s="542"/>
      <c r="D207" s="395">
        <f>D205-D206</f>
        <v>54288529</v>
      </c>
      <c r="E207" s="233"/>
      <c r="F207" s="133">
        <f>F205-F206</f>
        <v>0</v>
      </c>
      <c r="G207" s="89"/>
    </row>
    <row r="208" spans="2:7">
      <c r="B208" s="1438" t="s">
        <v>966</v>
      </c>
      <c r="C208" s="1439"/>
      <c r="D208" s="354">
        <f>'BS &amp; Notes 2014-15'!D208</f>
        <v>70045409</v>
      </c>
      <c r="E208" s="233"/>
      <c r="F208" s="133">
        <f>'BS &amp; Notes 2013-14'!D207</f>
        <v>0</v>
      </c>
      <c r="G208" s="233"/>
    </row>
    <row r="209" spans="2:7" ht="11.25" customHeight="1">
      <c r="B209" s="1438" t="s">
        <v>965</v>
      </c>
      <c r="C209" s="1439"/>
      <c r="D209" s="354">
        <f>'BS &amp; Notes 2014-15'!D209</f>
        <v>270591055</v>
      </c>
      <c r="E209" s="233"/>
      <c r="F209" s="133">
        <f>'BS &amp; Notes 2013-14'!D208</f>
        <v>0</v>
      </c>
      <c r="G209" s="233"/>
    </row>
    <row r="210" spans="2:7">
      <c r="B210" s="705" t="s">
        <v>964</v>
      </c>
      <c r="C210" s="706"/>
      <c r="D210" s="354">
        <f>'BS &amp; Notes 2014-15'!D210</f>
        <v>307374</v>
      </c>
      <c r="E210" s="233"/>
      <c r="F210" s="133">
        <f>'BS &amp; Notes 2013-14'!D209</f>
        <v>0</v>
      </c>
      <c r="G210" s="233"/>
    </row>
    <row r="211" spans="2:7">
      <c r="B211" s="1438" t="s">
        <v>963</v>
      </c>
      <c r="C211" s="1439"/>
      <c r="D211" s="354">
        <f>'BS &amp; Notes 2014-15'!D211</f>
        <v>10497633</v>
      </c>
      <c r="E211" s="233"/>
      <c r="F211" s="133">
        <f>'BS &amp; Notes 2013-14'!D210</f>
        <v>0</v>
      </c>
      <c r="G211" s="233"/>
    </row>
    <row r="212" spans="2:7">
      <c r="B212" s="1438" t="s">
        <v>962</v>
      </c>
      <c r="C212" s="1439"/>
      <c r="D212" s="354">
        <f>'BS &amp; Notes 2014-15'!D212</f>
        <v>4406795</v>
      </c>
      <c r="E212" s="233"/>
      <c r="F212" s="133">
        <f>'BS &amp; Notes 2013-14'!D211</f>
        <v>0</v>
      </c>
      <c r="G212" s="233"/>
    </row>
    <row r="213" spans="2:7" ht="11.25" customHeight="1">
      <c r="B213" s="1438" t="s">
        <v>961</v>
      </c>
      <c r="C213" s="1439"/>
      <c r="D213" s="354">
        <f>'BS &amp; Notes 2014-15'!D213</f>
        <v>1022605864</v>
      </c>
      <c r="E213" s="233"/>
      <c r="F213" s="133">
        <f>'BS &amp; Notes 2013-14'!D212</f>
        <v>0</v>
      </c>
      <c r="G213" s="233"/>
    </row>
    <row r="214" spans="2:7">
      <c r="B214" s="1438" t="s">
        <v>960</v>
      </c>
      <c r="C214" s="1439"/>
      <c r="D214" s="354">
        <f>'BS &amp; Notes 2014-15'!D214</f>
        <v>349632933</v>
      </c>
      <c r="E214" s="233"/>
      <c r="F214" s="133">
        <f>'BS &amp; Notes 2013-14'!D213</f>
        <v>0</v>
      </c>
      <c r="G214" s="233"/>
    </row>
    <row r="215" spans="2:7" ht="11.25" customHeight="1">
      <c r="B215" s="1438" t="s">
        <v>959</v>
      </c>
      <c r="C215" s="1439"/>
      <c r="D215" s="354">
        <f>'BS &amp; Notes 2014-15'!D215</f>
        <v>1987659538</v>
      </c>
      <c r="E215" s="233"/>
      <c r="F215" s="133">
        <f>'BS &amp; Notes 2013-14'!D214</f>
        <v>0</v>
      </c>
      <c r="G215" s="233"/>
    </row>
    <row r="216" spans="2:7">
      <c r="B216" s="705" t="s">
        <v>967</v>
      </c>
      <c r="C216" s="706"/>
      <c r="D216" s="354">
        <f>'BS &amp; Notes 2014-15'!D216</f>
        <v>7837086</v>
      </c>
      <c r="E216" s="233"/>
      <c r="F216" s="133">
        <f>'BS &amp; Notes 2013-14'!D215</f>
        <v>0</v>
      </c>
      <c r="G216" s="233"/>
    </row>
    <row r="217" spans="2:7">
      <c r="B217" s="1438" t="s">
        <v>968</v>
      </c>
      <c r="C217" s="1439"/>
      <c r="D217" s="354">
        <f>'BS &amp; Notes 2014-15'!D217</f>
        <v>93769688</v>
      </c>
      <c r="E217" s="233"/>
      <c r="F217" s="133">
        <f>'BS &amp; Notes 2013-14'!D216</f>
        <v>0</v>
      </c>
      <c r="G217" s="233"/>
    </row>
    <row r="218" spans="2:7">
      <c r="B218" s="1438" t="s">
        <v>969</v>
      </c>
      <c r="C218" s="1439"/>
      <c r="D218" s="354">
        <f>'BS &amp; Notes 2014-15'!D218</f>
        <v>0</v>
      </c>
      <c r="E218" s="233"/>
      <c r="F218" s="133">
        <f>'BS &amp; Notes 2013-14'!D217</f>
        <v>0</v>
      </c>
      <c r="G218" s="233"/>
    </row>
    <row r="219" spans="2:7" ht="21">
      <c r="B219" s="822" t="s">
        <v>970</v>
      </c>
      <c r="C219" s="706"/>
      <c r="D219" s="354">
        <f>'BS &amp; Notes 2014-15'!D219</f>
        <v>3150892646</v>
      </c>
      <c r="E219" s="233"/>
      <c r="F219" s="133">
        <f>'BS &amp; Notes 2013-14'!D218</f>
        <v>0</v>
      </c>
      <c r="G219" s="233"/>
    </row>
    <row r="220" spans="2:7" ht="24" customHeight="1">
      <c r="B220" s="1440" t="s">
        <v>1234</v>
      </c>
      <c r="C220" s="1441"/>
      <c r="D220" s="806">
        <f>'BS &amp; Notes 2014-15'!D220</f>
        <v>1345269653</v>
      </c>
      <c r="E220" s="233">
        <f>SUM(D207:D220)</f>
        <v>8367804203</v>
      </c>
      <c r="F220" s="828">
        <f>'BS &amp; Notes 2013-14'!D219</f>
        <v>0</v>
      </c>
      <c r="G220" s="233">
        <f>SUM(F207:F220)</f>
        <v>0</v>
      </c>
    </row>
    <row r="221" spans="2:7">
      <c r="B221" s="511"/>
      <c r="C221" s="724"/>
      <c r="D221" s="17"/>
      <c r="E221" s="233"/>
      <c r="F221" s="327"/>
      <c r="G221" s="233"/>
    </row>
    <row r="222" spans="2:7" ht="11.25" thickBot="1">
      <c r="B222" s="509" t="s">
        <v>806</v>
      </c>
      <c r="C222" s="718"/>
      <c r="D222" s="235"/>
      <c r="E222" s="571">
        <f>+SUM(E201:E221)</f>
        <v>8376002629</v>
      </c>
      <c r="F222" s="349"/>
      <c r="G222" s="571">
        <f>+SUM(G201:G221)</f>
        <v>0</v>
      </c>
    </row>
    <row r="224" spans="2:7">
      <c r="B224" s="70" t="s">
        <v>1075</v>
      </c>
    </row>
    <row r="225" spans="2:7" ht="12" thickBot="1">
      <c r="G225" s="1" t="s">
        <v>1180</v>
      </c>
    </row>
    <row r="226" spans="2:7" ht="11.25" thickBot="1">
      <c r="B226" s="737"/>
      <c r="C226" s="19"/>
      <c r="D226" s="1431" t="s">
        <v>1225</v>
      </c>
      <c r="E226" s="1432"/>
      <c r="F226" s="1431" t="s">
        <v>1204</v>
      </c>
      <c r="G226" s="1432"/>
    </row>
    <row r="227" spans="2:7">
      <c r="B227" s="94" t="s">
        <v>1076</v>
      </c>
      <c r="C227" s="717"/>
      <c r="D227" s="88"/>
      <c r="E227" s="83"/>
      <c r="F227" s="91"/>
      <c r="G227" s="83"/>
    </row>
    <row r="228" spans="2:7" ht="11.25">
      <c r="B228" s="420" t="s">
        <v>168</v>
      </c>
      <c r="C228" s="724"/>
      <c r="D228" s="133"/>
      <c r="E228" s="89">
        <f>'BS &amp; Notes 2014-15'!D229</f>
        <v>51052316</v>
      </c>
      <c r="F228" s="17"/>
      <c r="G228" s="89">
        <f>'BS &amp; Notes 2013-14'!D228</f>
        <v>0</v>
      </c>
    </row>
    <row r="229" spans="2:7" ht="11.25">
      <c r="B229" s="420" t="s">
        <v>166</v>
      </c>
      <c r="C229" s="724"/>
      <c r="D229" s="133"/>
      <c r="E229" s="89">
        <f>'BS &amp; Notes 2014-15'!D230</f>
        <v>29314792</v>
      </c>
      <c r="F229" s="17"/>
      <c r="G229" s="89">
        <f>'BS &amp; Notes 2013-14'!D229</f>
        <v>0</v>
      </c>
    </row>
    <row r="230" spans="2:7" ht="11.25">
      <c r="B230" s="420" t="s">
        <v>1260</v>
      </c>
      <c r="C230" s="724"/>
      <c r="D230" s="133"/>
      <c r="E230" s="89">
        <f>+D231+D232</f>
        <v>78315596</v>
      </c>
      <c r="F230" s="17"/>
      <c r="G230" s="89">
        <f>'BS &amp; Notes 2013-14'!D230</f>
        <v>0</v>
      </c>
    </row>
    <row r="231" spans="2:7" ht="11.25">
      <c r="B231" s="420" t="s">
        <v>1261</v>
      </c>
      <c r="C231" s="865"/>
      <c r="D231" s="133">
        <f>'BS &amp; Notes 2014-15'!D231</f>
        <v>12552610</v>
      </c>
      <c r="E231" s="87"/>
      <c r="F231" s="869" t="s">
        <v>819</v>
      </c>
      <c r="G231" s="89"/>
    </row>
    <row r="232" spans="2:7" ht="11.25">
      <c r="B232" s="420" t="s">
        <v>1262</v>
      </c>
      <c r="C232" s="865"/>
      <c r="D232" s="133">
        <f>'BS &amp; Notes 2014-15'!D232</f>
        <v>65762986</v>
      </c>
      <c r="E232" s="87"/>
      <c r="F232" s="869" t="s">
        <v>819</v>
      </c>
      <c r="G232" s="89"/>
    </row>
    <row r="233" spans="2:7" ht="11.25">
      <c r="B233" s="420" t="s">
        <v>165</v>
      </c>
      <c r="C233" s="724"/>
      <c r="D233" s="133"/>
      <c r="E233" s="89">
        <f>'BS &amp; Notes 2014-15'!D233</f>
        <v>28932409</v>
      </c>
      <c r="F233" s="17"/>
      <c r="G233" s="89">
        <f>'BS &amp; Notes 2013-14'!D231</f>
        <v>0</v>
      </c>
    </row>
    <row r="234" spans="2:7" ht="11.25">
      <c r="B234" s="420" t="s">
        <v>154</v>
      </c>
      <c r="C234" s="724"/>
      <c r="D234" s="605"/>
      <c r="E234" s="89">
        <f>'BS &amp; Notes 2014-15'!D234</f>
        <v>2167682</v>
      </c>
      <c r="F234" s="17"/>
      <c r="G234" s="89">
        <f>'BS &amp; Notes 2013-14'!D232</f>
        <v>0</v>
      </c>
    </row>
    <row r="235" spans="2:7" ht="11.25">
      <c r="B235" s="420" t="s">
        <v>155</v>
      </c>
      <c r="C235" s="724"/>
      <c r="D235" s="133"/>
      <c r="E235" s="89">
        <f>'BS &amp; Notes 2014-15'!D235</f>
        <v>0</v>
      </c>
      <c r="F235" s="17"/>
      <c r="G235" s="89">
        <f>'BS &amp; Notes 2013-14'!D233</f>
        <v>0</v>
      </c>
    </row>
    <row r="236" spans="2:7" ht="11.25">
      <c r="B236" s="864" t="s">
        <v>156</v>
      </c>
      <c r="C236" s="724"/>
      <c r="D236" s="133"/>
      <c r="E236" s="89">
        <f>'BS &amp; Notes 2014-15'!D236</f>
        <v>8335555</v>
      </c>
      <c r="F236" s="17"/>
      <c r="G236" s="89">
        <f>'BS &amp; Notes 2013-14'!D234</f>
        <v>0</v>
      </c>
    </row>
    <row r="237" spans="2:7" ht="11.25">
      <c r="B237" s="864" t="s">
        <v>1259</v>
      </c>
      <c r="C237" s="724"/>
      <c r="D237" s="133"/>
      <c r="E237" s="89">
        <f>'BS &amp; Notes 2014-15'!D237</f>
        <v>331399</v>
      </c>
      <c r="F237" s="17"/>
      <c r="G237" s="89">
        <f>'BS &amp; Notes 2013-14'!D235</f>
        <v>0</v>
      </c>
    </row>
    <row r="238" spans="2:7" ht="11.25">
      <c r="B238" s="420" t="s">
        <v>158</v>
      </c>
      <c r="C238" s="724"/>
      <c r="D238" s="133"/>
      <c r="E238" s="89">
        <f>'BS &amp; Notes 2014-15'!D238</f>
        <v>9425381</v>
      </c>
      <c r="F238" s="17"/>
      <c r="G238" s="89">
        <f>'BS &amp; Notes 2013-14'!D236</f>
        <v>0</v>
      </c>
    </row>
    <row r="239" spans="2:7">
      <c r="B239" s="867" t="s">
        <v>1245</v>
      </c>
      <c r="C239" s="724"/>
      <c r="D239" s="605"/>
      <c r="E239" s="89">
        <f>'BS &amp; Notes 2014-15'!D239</f>
        <v>0</v>
      </c>
      <c r="F239" s="17"/>
      <c r="G239" s="89">
        <f>'BS &amp; Notes 2013-14'!D237</f>
        <v>0</v>
      </c>
    </row>
    <row r="240" spans="2:7">
      <c r="B240" s="119"/>
      <c r="C240" s="724"/>
      <c r="D240" s="72"/>
      <c r="E240" s="89"/>
      <c r="F240" s="133"/>
      <c r="G240" s="89"/>
    </row>
    <row r="241" spans="2:7">
      <c r="B241" s="72"/>
      <c r="C241" s="724"/>
      <c r="D241" s="72"/>
      <c r="E241" s="87"/>
      <c r="F241" s="90"/>
      <c r="G241" s="87"/>
    </row>
    <row r="242" spans="2:7">
      <c r="B242" s="710" t="s">
        <v>1067</v>
      </c>
      <c r="C242" s="724"/>
      <c r="D242" s="72"/>
      <c r="E242" s="87"/>
      <c r="F242" s="90"/>
      <c r="G242" s="87"/>
    </row>
    <row r="243" spans="2:7">
      <c r="B243" s="119" t="s">
        <v>1077</v>
      </c>
      <c r="C243" s="724"/>
      <c r="D243" s="133">
        <f>'BS &amp; Notes 2014-15'!D243</f>
        <v>157500000</v>
      </c>
      <c r="E243" s="87"/>
      <c r="F243" s="133">
        <f>'BS &amp; Notes 2013-14'!D241</f>
        <v>0</v>
      </c>
      <c r="G243" s="87"/>
    </row>
    <row r="244" spans="2:7">
      <c r="B244" s="119" t="s">
        <v>1078</v>
      </c>
      <c r="C244" s="724"/>
      <c r="D244" s="605">
        <f>'BS &amp; Notes 2014-15'!D244</f>
        <v>250000000</v>
      </c>
      <c r="E244" s="89"/>
      <c r="F244" s="133">
        <f>'BS &amp; Notes 2013-14'!D242</f>
        <v>0</v>
      </c>
      <c r="G244" s="89"/>
    </row>
    <row r="245" spans="2:7">
      <c r="B245" s="119" t="s">
        <v>1079</v>
      </c>
      <c r="C245" s="724"/>
      <c r="D245" s="605">
        <f>'BS &amp; Notes 2014-15'!D245</f>
        <v>50894125</v>
      </c>
      <c r="E245" s="89"/>
      <c r="F245" s="133">
        <f>'BS &amp; Notes 2013-14'!D243</f>
        <v>0</v>
      </c>
      <c r="G245" s="89"/>
    </row>
    <row r="246" spans="2:7" ht="10.9" customHeight="1">
      <c r="B246" s="119" t="s">
        <v>1080</v>
      </c>
      <c r="C246" s="724"/>
      <c r="D246" s="605">
        <f>'BS &amp; Notes 2014-15'!D246</f>
        <v>667830</v>
      </c>
      <c r="E246" s="542"/>
      <c r="F246" s="133">
        <f>'BS &amp; Notes 2013-14'!D244</f>
        <v>0</v>
      </c>
      <c r="G246" s="542"/>
    </row>
    <row r="247" spans="2:7" ht="10.9" customHeight="1">
      <c r="B247" s="119" t="s">
        <v>1271</v>
      </c>
      <c r="C247" s="873"/>
      <c r="D247" s="605">
        <f>'BS &amp; Notes 2014-15'!D247</f>
        <v>6142813</v>
      </c>
      <c r="E247" s="542"/>
      <c r="F247" s="133"/>
      <c r="G247" s="542"/>
    </row>
    <row r="248" spans="2:7" ht="12" thickBot="1">
      <c r="B248" s="377" t="s">
        <v>1272</v>
      </c>
      <c r="C248" s="724"/>
      <c r="D248" s="544">
        <f>'BS &amp; Notes 2014-15'!D248</f>
        <v>321771244</v>
      </c>
      <c r="E248" s="542">
        <f>+SUM(D243:D248)</f>
        <v>786976012</v>
      </c>
      <c r="F248" s="133">
        <f>'BS &amp; Notes 2013-14'!D245</f>
        <v>0</v>
      </c>
      <c r="G248" s="542">
        <f>+SUM(F242:F248)</f>
        <v>0</v>
      </c>
    </row>
    <row r="249" spans="2:7">
      <c r="B249" s="72"/>
      <c r="C249" s="724"/>
      <c r="D249" s="546"/>
      <c r="E249" s="542"/>
      <c r="F249" s="546"/>
      <c r="G249" s="542"/>
    </row>
    <row r="250" spans="2:7" ht="11.25" thickBot="1">
      <c r="B250" s="512" t="s">
        <v>806</v>
      </c>
      <c r="C250" s="718"/>
      <c r="D250" s="544"/>
      <c r="E250" s="573">
        <f>SUM(E228:E239)+E248</f>
        <v>994851142</v>
      </c>
      <c r="F250" s="715"/>
      <c r="G250" s="573">
        <f>SUM(G228:G239)+G248</f>
        <v>0</v>
      </c>
    </row>
    <row r="252" spans="2:7">
      <c r="B252" s="1" t="s">
        <v>902</v>
      </c>
    </row>
    <row r="254" spans="2:7">
      <c r="B254" s="1" t="s">
        <v>903</v>
      </c>
      <c r="D254" s="2" t="s">
        <v>1240</v>
      </c>
    </row>
    <row r="256" spans="2:7">
      <c r="B256" s="70" t="s">
        <v>50</v>
      </c>
    </row>
    <row r="257" spans="2:8" ht="12" thickBot="1">
      <c r="F257" s="1442" t="s">
        <v>1180</v>
      </c>
      <c r="G257" s="1442"/>
      <c r="H257" s="90"/>
    </row>
    <row r="258" spans="2:8" ht="11.25" thickBot="1">
      <c r="B258" s="199"/>
      <c r="C258" s="199"/>
      <c r="D258" s="1431" t="s">
        <v>1225</v>
      </c>
      <c r="E258" s="1432"/>
      <c r="F258" s="1431" t="s">
        <v>1204</v>
      </c>
      <c r="G258" s="1432"/>
      <c r="H258" s="90"/>
    </row>
    <row r="259" spans="2:8">
      <c r="B259" s="200" t="s">
        <v>1081</v>
      </c>
      <c r="C259" s="200"/>
      <c r="D259" s="714"/>
      <c r="E259" s="722"/>
      <c r="F259" s="714"/>
      <c r="G259" s="722"/>
      <c r="H259" s="90"/>
    </row>
    <row r="260" spans="2:8">
      <c r="B260" s="101" t="s">
        <v>1082</v>
      </c>
      <c r="C260" s="101"/>
      <c r="D260" s="194"/>
      <c r="E260" s="193"/>
      <c r="F260" s="194"/>
      <c r="G260" s="193"/>
      <c r="H260" s="90"/>
    </row>
    <row r="261" spans="2:8">
      <c r="B261" s="113" t="s">
        <v>51</v>
      </c>
      <c r="C261" s="113"/>
      <c r="D261" s="194"/>
      <c r="E261" s="193">
        <f>'BS &amp; Notes 2014-15'!E261</f>
        <v>36309393</v>
      </c>
      <c r="F261" s="194"/>
      <c r="G261" s="193">
        <f>'BS &amp; Notes 2013-14'!E258</f>
        <v>0</v>
      </c>
      <c r="H261" s="90"/>
    </row>
    <row r="262" spans="2:8">
      <c r="B262" s="101" t="s">
        <v>1083</v>
      </c>
      <c r="C262" s="101"/>
      <c r="D262" s="194"/>
      <c r="E262" s="193"/>
      <c r="F262" s="194"/>
      <c r="G262" s="193"/>
      <c r="H262" s="90"/>
    </row>
    <row r="263" spans="2:8">
      <c r="B263" s="101" t="s">
        <v>1084</v>
      </c>
      <c r="C263" s="101"/>
      <c r="D263" s="194"/>
      <c r="E263" s="193"/>
      <c r="F263" s="194"/>
      <c r="G263" s="193"/>
      <c r="H263" s="90"/>
    </row>
    <row r="264" spans="2:8" ht="42">
      <c r="B264" s="113" t="s">
        <v>644</v>
      </c>
      <c r="C264" s="113"/>
      <c r="D264" s="194"/>
      <c r="E264" s="193">
        <f>'BS &amp; Notes 2014-15'!E264</f>
        <v>31445045</v>
      </c>
      <c r="F264" s="194"/>
      <c r="G264" s="193">
        <f>'BS &amp; Notes 2013-14'!E261</f>
        <v>0</v>
      </c>
      <c r="H264" s="90"/>
    </row>
    <row r="265" spans="2:8">
      <c r="B265" s="101" t="s">
        <v>1085</v>
      </c>
      <c r="C265" s="101"/>
      <c r="D265" s="194"/>
      <c r="E265" s="193"/>
      <c r="F265" s="194"/>
      <c r="G265" s="193"/>
      <c r="H265" s="90"/>
    </row>
    <row r="266" spans="2:8" ht="15" customHeight="1">
      <c r="B266" s="124" t="s">
        <v>1086</v>
      </c>
      <c r="C266" s="124"/>
      <c r="D266" s="194"/>
      <c r="E266" s="193"/>
      <c r="F266" s="194"/>
      <c r="G266" s="193"/>
      <c r="H266" s="90"/>
    </row>
    <row r="267" spans="2:8" ht="42">
      <c r="B267" s="113" t="s">
        <v>1191</v>
      </c>
      <c r="C267" s="113"/>
      <c r="D267" s="194">
        <f>'BS &amp; Notes 2014-15'!D267</f>
        <v>3796854880</v>
      </c>
      <c r="E267" s="193"/>
      <c r="F267" s="194">
        <f>'BS &amp; Notes 2013-14'!D264</f>
        <v>0</v>
      </c>
      <c r="G267" s="193"/>
      <c r="H267" s="90"/>
    </row>
    <row r="268" spans="2:8" ht="21">
      <c r="B268" s="124" t="s">
        <v>1087</v>
      </c>
      <c r="C268" s="124"/>
      <c r="D268" s="194"/>
      <c r="E268" s="193"/>
      <c r="F268" s="194"/>
      <c r="G268" s="193"/>
      <c r="H268" s="90"/>
    </row>
    <row r="269" spans="2:8" ht="32.25" thickBot="1">
      <c r="B269" s="113" t="s">
        <v>646</v>
      </c>
      <c r="C269" s="113"/>
      <c r="D269" s="204">
        <f>'BS &amp; Notes 2014-15'!D269</f>
        <v>130000</v>
      </c>
      <c r="E269" s="193">
        <f>+SUM(D267:D269)</f>
        <v>3796984880</v>
      </c>
      <c r="F269" s="204">
        <f>'BS &amp; Notes 2013-14'!D266</f>
        <v>0</v>
      </c>
      <c r="G269" s="193">
        <f>+SUM(F267:F269)</f>
        <v>0</v>
      </c>
      <c r="H269" s="90"/>
    </row>
    <row r="270" spans="2:8">
      <c r="B270" s="101" t="s">
        <v>1088</v>
      </c>
      <c r="C270" s="101"/>
      <c r="D270" s="194"/>
      <c r="E270" s="193"/>
      <c r="F270" s="194"/>
      <c r="G270" s="193"/>
      <c r="H270" s="90"/>
    </row>
    <row r="271" spans="2:8" ht="21">
      <c r="B271" s="124" t="s">
        <v>1089</v>
      </c>
      <c r="C271" s="124"/>
      <c r="D271" s="194"/>
      <c r="E271" s="193"/>
      <c r="F271" s="194"/>
      <c r="G271" s="193"/>
      <c r="H271" s="90"/>
    </row>
    <row r="272" spans="2:8" ht="31.5">
      <c r="B272" s="113" t="s">
        <v>648</v>
      </c>
      <c r="C272" s="113"/>
      <c r="D272" s="194">
        <f>'BS &amp; Notes 2014-15'!D276</f>
        <v>0</v>
      </c>
      <c r="E272" s="193"/>
      <c r="F272" s="194">
        <v>0</v>
      </c>
      <c r="G272" s="193"/>
      <c r="H272" s="90"/>
    </row>
    <row r="273" spans="2:8" ht="21.75" thickBot="1">
      <c r="B273" s="119" t="s">
        <v>179</v>
      </c>
      <c r="C273" s="113"/>
      <c r="D273" s="204">
        <f>'BS &amp; Notes 2014-15'!D277</f>
        <v>0</v>
      </c>
      <c r="E273" s="193"/>
      <c r="F273" s="204">
        <v>0</v>
      </c>
      <c r="G273" s="193"/>
      <c r="H273" s="90"/>
    </row>
    <row r="274" spans="2:8">
      <c r="B274" s="119"/>
      <c r="C274" s="113"/>
      <c r="D274" s="194"/>
      <c r="E274" s="193">
        <f>D272-D273</f>
        <v>0</v>
      </c>
      <c r="F274" s="194"/>
      <c r="G274" s="193"/>
      <c r="H274" s="90"/>
    </row>
    <row r="275" spans="2:8" ht="21">
      <c r="B275" s="101" t="s">
        <v>1090</v>
      </c>
      <c r="C275" s="101"/>
      <c r="D275" s="194"/>
      <c r="E275" s="193"/>
      <c r="F275" s="194"/>
      <c r="G275" s="193"/>
      <c r="H275" s="90"/>
    </row>
    <row r="276" spans="2:8" ht="31.5">
      <c r="B276" s="113" t="s">
        <v>649</v>
      </c>
      <c r="C276" s="113"/>
      <c r="D276" s="194"/>
      <c r="E276" s="193">
        <f>'BS &amp; Notes 2014-15'!E280</f>
        <v>26000</v>
      </c>
      <c r="G276" s="193">
        <f>'BS &amp; Notes 2013-14'!E277</f>
        <v>0</v>
      </c>
      <c r="H276" s="90"/>
    </row>
    <row r="277" spans="2:8">
      <c r="B277" s="101" t="s">
        <v>1091</v>
      </c>
      <c r="C277" s="101"/>
      <c r="D277" s="194"/>
      <c r="E277" s="193"/>
      <c r="G277" s="193"/>
      <c r="H277" s="90"/>
    </row>
    <row r="278" spans="2:8" ht="42">
      <c r="B278" s="113" t="s">
        <v>650</v>
      </c>
      <c r="C278" s="113"/>
      <c r="D278" s="194"/>
      <c r="E278" s="193">
        <f>'BS &amp; Notes 2014-15'!E282</f>
        <v>174460000</v>
      </c>
      <c r="G278" s="193">
        <f>'BS &amp; Notes 2013-14'!E279</f>
        <v>0</v>
      </c>
      <c r="H278" s="90"/>
    </row>
    <row r="279" spans="2:8" ht="21">
      <c r="B279" s="101" t="s">
        <v>1092</v>
      </c>
      <c r="C279" s="101"/>
      <c r="D279" s="194"/>
      <c r="E279" s="193"/>
      <c r="G279" s="193"/>
      <c r="H279" s="90"/>
    </row>
    <row r="280" spans="2:8" ht="42">
      <c r="B280" s="113" t="s">
        <v>651</v>
      </c>
      <c r="C280" s="113"/>
      <c r="D280" s="194"/>
      <c r="E280" s="193">
        <f>'BS &amp; Notes 2014-15'!E284</f>
        <v>338000000</v>
      </c>
      <c r="G280" s="193">
        <f>'BS &amp; Notes 2013-14'!E281</f>
        <v>0</v>
      </c>
      <c r="H280" s="90"/>
    </row>
    <row r="281" spans="2:8">
      <c r="B281" s="101" t="s">
        <v>1093</v>
      </c>
      <c r="C281" s="101"/>
      <c r="D281" s="194"/>
      <c r="E281" s="193"/>
      <c r="G281" s="193"/>
      <c r="H281" s="90"/>
    </row>
    <row r="282" spans="2:8" ht="42">
      <c r="B282" s="113" t="s">
        <v>652</v>
      </c>
      <c r="C282" s="113"/>
      <c r="D282" s="194"/>
      <c r="E282" s="193">
        <f>'BS &amp; Notes 2014-15'!E286</f>
        <v>29874000</v>
      </c>
      <c r="G282" s="193">
        <f>'BS &amp; Notes 2013-14'!E283</f>
        <v>0</v>
      </c>
      <c r="H282" s="90"/>
    </row>
    <row r="283" spans="2:8" ht="12.75" customHeight="1">
      <c r="B283" s="101" t="s">
        <v>1094</v>
      </c>
      <c r="C283" s="101"/>
      <c r="D283" s="194"/>
      <c r="E283" s="193"/>
      <c r="G283" s="193"/>
      <c r="H283" s="90"/>
    </row>
    <row r="284" spans="2:8" ht="42">
      <c r="B284" s="113" t="s">
        <v>654</v>
      </c>
      <c r="C284" s="101"/>
      <c r="D284" s="194">
        <f>'BS &amp; Notes 2014-15'!D290</f>
        <v>260000000</v>
      </c>
      <c r="E284" s="193"/>
      <c r="F284" s="2">
        <f>'BS &amp; Notes 2013-14'!D287</f>
        <v>0</v>
      </c>
      <c r="G284" s="193"/>
      <c r="H284" s="90"/>
    </row>
    <row r="285" spans="2:8" ht="26.25" customHeight="1" thickBot="1">
      <c r="B285" s="119" t="s">
        <v>1215</v>
      </c>
      <c r="C285" s="813"/>
      <c r="D285" s="204">
        <f>'BS &amp; Notes 2014-15'!D291</f>
        <v>241097999</v>
      </c>
      <c r="E285" s="193">
        <f>D284-D285</f>
        <v>18902001</v>
      </c>
      <c r="F285" s="204">
        <f>'BS &amp; Notes 2013-14'!D288</f>
        <v>0</v>
      </c>
      <c r="G285" s="193">
        <f>F284-F285</f>
        <v>0</v>
      </c>
      <c r="H285" s="90"/>
    </row>
    <row r="286" spans="2:8">
      <c r="B286" s="101" t="s">
        <v>1095</v>
      </c>
      <c r="C286" s="101"/>
      <c r="D286" s="194"/>
      <c r="E286" s="193"/>
      <c r="F286" s="194"/>
      <c r="G286" s="193"/>
      <c r="H286" s="90"/>
    </row>
    <row r="287" spans="2:8" ht="31.5">
      <c r="B287" s="113" t="s">
        <v>1222</v>
      </c>
      <c r="C287" s="113"/>
      <c r="D287" s="194"/>
      <c r="E287" s="193">
        <f>'BS &amp; Notes 2014-15'!E293</f>
        <v>572000</v>
      </c>
      <c r="F287" s="194"/>
      <c r="G287" s="193">
        <f>'BS &amp; Notes 2013-14'!E290</f>
        <v>0</v>
      </c>
      <c r="H287" s="90"/>
    </row>
    <row r="288" spans="2:8">
      <c r="B288" s="113"/>
      <c r="C288" s="113"/>
      <c r="D288" s="194"/>
      <c r="E288" s="193"/>
      <c r="F288" s="194"/>
      <c r="G288" s="193"/>
      <c r="H288" s="90"/>
    </row>
    <row r="289" spans="2:8">
      <c r="B289" s="101" t="s">
        <v>1096</v>
      </c>
      <c r="C289" s="113"/>
      <c r="D289" s="194"/>
      <c r="E289" s="193"/>
      <c r="F289" s="194"/>
      <c r="G289" s="193"/>
      <c r="H289" s="90"/>
    </row>
    <row r="290" spans="2:8">
      <c r="B290" s="101" t="s">
        <v>1097</v>
      </c>
      <c r="C290" s="113"/>
      <c r="D290" s="194"/>
      <c r="E290" s="193"/>
      <c r="F290" s="194"/>
      <c r="G290" s="193"/>
      <c r="H290" s="90"/>
    </row>
    <row r="291" spans="2:8" ht="42">
      <c r="B291" s="113" t="s">
        <v>647</v>
      </c>
      <c r="C291" s="113"/>
      <c r="D291" s="194">
        <f>'BS &amp; Notes 2014-15'!D272</f>
        <v>47500000</v>
      </c>
      <c r="E291" s="193"/>
      <c r="F291" s="194">
        <f>'BS &amp; Notes 2013-14'!D269</f>
        <v>0</v>
      </c>
      <c r="G291" s="193"/>
      <c r="H291" s="90"/>
    </row>
    <row r="292" spans="2:8" ht="21.75" thickBot="1">
      <c r="B292" s="119" t="s">
        <v>179</v>
      </c>
      <c r="C292" s="113"/>
      <c r="D292" s="204">
        <f>'BS &amp; Notes 2014-15'!D273</f>
        <v>47499999</v>
      </c>
      <c r="E292" s="193">
        <f>+D291-D292</f>
        <v>1</v>
      </c>
      <c r="F292" s="204">
        <f>'BS &amp; Notes 2013-14'!D270</f>
        <v>0</v>
      </c>
      <c r="G292" s="193">
        <f>F291-F292</f>
        <v>0</v>
      </c>
      <c r="H292" s="90"/>
    </row>
    <row r="293" spans="2:8">
      <c r="B293" s="113"/>
      <c r="C293" s="113"/>
      <c r="D293" s="194"/>
      <c r="E293" s="193"/>
      <c r="F293" s="194"/>
      <c r="G293" s="193"/>
      <c r="H293" s="90"/>
    </row>
    <row r="294" spans="2:8">
      <c r="B294" s="101" t="s">
        <v>1098</v>
      </c>
      <c r="C294" s="113"/>
      <c r="D294" s="194"/>
      <c r="E294" s="193"/>
      <c r="F294" s="194"/>
      <c r="G294" s="193"/>
      <c r="H294" s="90"/>
    </row>
    <row r="295" spans="2:8" ht="42">
      <c r="B295" s="113" t="s">
        <v>1224</v>
      </c>
      <c r="C295" s="113"/>
      <c r="D295" s="194"/>
      <c r="E295" s="193">
        <f>'BS &amp; Notes 2014-15'!E288</f>
        <v>30000000</v>
      </c>
      <c r="F295" s="194"/>
      <c r="G295" s="193">
        <f>'BS &amp; Notes 2013-14'!E285</f>
        <v>0</v>
      </c>
      <c r="H295" s="90"/>
    </row>
    <row r="296" spans="2:8">
      <c r="B296" s="113"/>
      <c r="C296" s="113"/>
      <c r="D296" s="194"/>
      <c r="E296" s="193"/>
      <c r="F296" s="194"/>
      <c r="G296" s="193"/>
      <c r="H296" s="90"/>
    </row>
    <row r="297" spans="2:8">
      <c r="B297" s="101" t="s">
        <v>1217</v>
      </c>
      <c r="C297" s="101"/>
      <c r="D297" s="194"/>
      <c r="E297" s="193"/>
      <c r="F297" s="194"/>
      <c r="G297" s="193"/>
      <c r="H297" s="90"/>
    </row>
    <row r="298" spans="2:8">
      <c r="B298" s="707" t="s">
        <v>58</v>
      </c>
      <c r="C298" s="707"/>
      <c r="D298" s="194"/>
      <c r="E298" s="193"/>
      <c r="F298" s="194"/>
      <c r="G298" s="193"/>
    </row>
    <row r="299" spans="2:8">
      <c r="B299" s="808" t="s">
        <v>1210</v>
      </c>
      <c r="C299" s="196"/>
      <c r="D299" s="593">
        <f>'BS &amp; Notes 2014-15'!D298</f>
        <v>0</v>
      </c>
      <c r="E299" s="193"/>
      <c r="F299" s="699">
        <f>'BS &amp; Notes 2013-14'!D297</f>
        <v>0</v>
      </c>
      <c r="G299" s="193"/>
    </row>
    <row r="300" spans="2:8" ht="24.75" customHeight="1">
      <c r="B300" s="196" t="s">
        <v>184</v>
      </c>
      <c r="C300" s="196"/>
      <c r="D300" s="593">
        <f>'BS &amp; Notes 2014-15'!D299</f>
        <v>0</v>
      </c>
      <c r="E300" s="193"/>
      <c r="F300" s="699">
        <f>'BS &amp; Notes 2013-14'!D298</f>
        <v>0</v>
      </c>
      <c r="G300" s="193"/>
    </row>
    <row r="301" spans="2:8" ht="15" customHeight="1" thickBot="1">
      <c r="B301" s="196" t="s">
        <v>185</v>
      </c>
      <c r="C301" s="196"/>
      <c r="D301" s="594">
        <f>'BS &amp; Notes 2014-15'!D300</f>
        <v>0</v>
      </c>
      <c r="E301" s="595">
        <f>+SUM(D298:D301)</f>
        <v>0</v>
      </c>
      <c r="F301" s="700">
        <f>'BS &amp; Notes 2013-14'!F299</f>
        <v>0</v>
      </c>
      <c r="G301" s="193">
        <f>+SUM(F298:F301)</f>
        <v>0</v>
      </c>
    </row>
    <row r="302" spans="2:8" ht="11.25" thickBot="1">
      <c r="B302" s="101" t="s">
        <v>59</v>
      </c>
      <c r="C302" s="101"/>
      <c r="D302" s="194"/>
      <c r="E302" s="596">
        <f>'BS &amp; Notes 2014-15'!E301</f>
        <v>0</v>
      </c>
      <c r="F302" s="194"/>
      <c r="G302" s="596">
        <f>'BS &amp; Notes 2013-14'!E300</f>
        <v>0</v>
      </c>
    </row>
    <row r="303" spans="2:8" ht="11.25" thickBot="1">
      <c r="B303" s="509" t="s">
        <v>806</v>
      </c>
      <c r="C303" s="205"/>
      <c r="D303" s="204"/>
      <c r="E303" s="577">
        <f>SUM(E259:E302)</f>
        <v>4456573320</v>
      </c>
      <c r="F303" s="576"/>
      <c r="G303" s="577">
        <f>SUM(G259:G302)</f>
        <v>0</v>
      </c>
    </row>
    <row r="305" spans="2:22">
      <c r="B305" s="318" t="s">
        <v>1099</v>
      </c>
    </row>
    <row r="306" spans="2:22">
      <c r="B306" s="318"/>
    </row>
    <row r="307" spans="2:22" ht="11.25">
      <c r="B307" s="208" t="s">
        <v>1205</v>
      </c>
      <c r="C307" s="208"/>
      <c r="D307" s="208"/>
      <c r="E307" s="208"/>
      <c r="F307" s="208"/>
      <c r="G307" s="208"/>
      <c r="V307" s="117" t="s">
        <v>1100</v>
      </c>
    </row>
    <row r="308" spans="2:22" ht="12.75" customHeight="1" thickBot="1">
      <c r="E308" s="1442" t="s">
        <v>1180</v>
      </c>
      <c r="F308" s="1442"/>
      <c r="L308" s="117"/>
    </row>
    <row r="309" spans="2:22" ht="35.450000000000003" customHeight="1" thickBot="1">
      <c r="B309" s="206" t="s">
        <v>77</v>
      </c>
      <c r="C309" s="738"/>
      <c r="D309" s="213" t="s">
        <v>1235</v>
      </c>
      <c r="E309" s="214" t="s">
        <v>1236</v>
      </c>
      <c r="F309" s="821" t="s">
        <v>1237</v>
      </c>
      <c r="I309" s="209"/>
      <c r="J309" s="209"/>
      <c r="K309" s="209"/>
      <c r="L309" s="209"/>
    </row>
    <row r="310" spans="2:22">
      <c r="B310" s="411" t="s">
        <v>78</v>
      </c>
      <c r="D310" s="465">
        <f>'BS &amp; Notes 2014-15'!D311</f>
        <v>-159230000</v>
      </c>
      <c r="E310" s="624">
        <f>'BS &amp; Notes 2014-15'!E311</f>
        <v>45830000</v>
      </c>
      <c r="F310" s="624">
        <f>'BS &amp; Notes 2014-15'!F311</f>
        <v>-113400000</v>
      </c>
      <c r="I310" s="210"/>
      <c r="J310" s="724"/>
      <c r="K310" s="724"/>
      <c r="L310" s="724"/>
    </row>
    <row r="311" spans="2:22">
      <c r="B311" s="413" t="s">
        <v>194</v>
      </c>
      <c r="D311" s="476">
        <f>'BS &amp; Notes 2014-15'!D312</f>
        <v>0</v>
      </c>
      <c r="E311" s="587">
        <f>'BS &amp; Notes 2014-15'!E312</f>
        <v>0</v>
      </c>
      <c r="F311" s="587">
        <f>'BS &amp; Notes 2014-15'!F312</f>
        <v>0</v>
      </c>
      <c r="I311" s="210"/>
      <c r="J311" s="724"/>
      <c r="K311" s="724"/>
      <c r="L311" s="724"/>
    </row>
    <row r="312" spans="2:22">
      <c r="B312" s="413" t="s">
        <v>186</v>
      </c>
      <c r="D312" s="476">
        <f>'BS &amp; Notes 2014-15'!D313</f>
        <v>2403890000</v>
      </c>
      <c r="E312" s="587">
        <f>'BS &amp; Notes 2014-15'!E313</f>
        <v>-136300000</v>
      </c>
      <c r="F312" s="587">
        <f>'BS &amp; Notes 2014-15'!F313</f>
        <v>2267590000</v>
      </c>
      <c r="I312" s="210"/>
      <c r="J312" s="724"/>
      <c r="K312" s="724"/>
      <c r="L312" s="724"/>
    </row>
    <row r="313" spans="2:22">
      <c r="B313" s="413" t="s">
        <v>79</v>
      </c>
      <c r="D313" s="476">
        <f>'BS &amp; Notes 2014-15'!D314</f>
        <v>0</v>
      </c>
      <c r="E313" s="587">
        <f>'BS &amp; Notes 2014-15'!E314</f>
        <v>230000</v>
      </c>
      <c r="F313" s="587">
        <f>'BS &amp; Notes 2014-15'!F314</f>
        <v>230000</v>
      </c>
      <c r="I313" s="210"/>
      <c r="J313" s="724"/>
      <c r="K313" s="724"/>
      <c r="L313" s="724"/>
    </row>
    <row r="314" spans="2:22">
      <c r="B314" s="413" t="s">
        <v>80</v>
      </c>
      <c r="D314" s="476">
        <f>'BS &amp; Notes 2014-15'!D315</f>
        <v>16900000</v>
      </c>
      <c r="E314" s="587">
        <f>'BS &amp; Notes 2014-15'!E315</f>
        <v>-5830000</v>
      </c>
      <c r="F314" s="587">
        <f>'BS &amp; Notes 2014-15'!F315</f>
        <v>11070000</v>
      </c>
      <c r="I314" s="210"/>
      <c r="J314" s="724"/>
      <c r="K314" s="724"/>
      <c r="L314" s="724"/>
    </row>
    <row r="315" spans="2:22">
      <c r="B315" s="413" t="s">
        <v>1276</v>
      </c>
      <c r="D315" s="476">
        <f>'BS &amp; Notes 2014-15'!D316</f>
        <v>0</v>
      </c>
      <c r="E315" s="587">
        <f>'BS &amp; Notes 2014-15'!E316</f>
        <v>111360000</v>
      </c>
      <c r="F315" s="587">
        <f>'BS &amp; Notes 2014-15'!F316</f>
        <v>111360000</v>
      </c>
      <c r="I315" s="210"/>
      <c r="J315" s="724"/>
      <c r="K315" s="724"/>
      <c r="L315" s="724"/>
    </row>
    <row r="316" spans="2:22">
      <c r="B316" s="413" t="s">
        <v>1277</v>
      </c>
      <c r="D316" s="476">
        <f>'BS &amp; Notes 2014-15'!D317</f>
        <v>0</v>
      </c>
      <c r="E316" s="587">
        <f>'BS &amp; Notes 2014-15'!E317</f>
        <v>2120000</v>
      </c>
      <c r="F316" s="587">
        <f>'BS &amp; Notes 2014-15'!F317</f>
        <v>2120000</v>
      </c>
      <c r="I316" s="210"/>
      <c r="J316" s="724"/>
      <c r="K316" s="724"/>
      <c r="L316" s="724"/>
    </row>
    <row r="317" spans="2:22" ht="11.25" thickBot="1">
      <c r="B317" s="146"/>
      <c r="D317" s="467">
        <f>'BS &amp; Notes 2014-15'!D318</f>
        <v>0</v>
      </c>
      <c r="E317" s="587">
        <f>'BS &amp; Notes 2014-15'!E318</f>
        <v>0</v>
      </c>
      <c r="F317" s="587">
        <f>'BS &amp; Notes 2014-15'!F318</f>
        <v>0</v>
      </c>
      <c r="I317" s="210"/>
      <c r="J317" s="724"/>
      <c r="K317" s="724"/>
      <c r="L317" s="724"/>
    </row>
    <row r="318" spans="2:22" ht="11.25" thickBot="1">
      <c r="B318" s="516" t="s">
        <v>860</v>
      </c>
      <c r="C318" s="718"/>
      <c r="D318" s="578">
        <f>SUM(D310:D317)</f>
        <v>2261560000</v>
      </c>
      <c r="E318" s="625">
        <f>SUM(E310:E317)</f>
        <v>17410000</v>
      </c>
      <c r="F318" s="570">
        <f>SUM(F310:F317)</f>
        <v>2278970000</v>
      </c>
      <c r="I318" s="211"/>
      <c r="J318" s="724"/>
      <c r="K318" s="724"/>
      <c r="L318" s="724"/>
    </row>
    <row r="320" spans="2:22">
      <c r="B320" s="1" t="s">
        <v>85</v>
      </c>
    </row>
    <row r="321" spans="2:7" ht="12" thickBot="1">
      <c r="F321" s="1442" t="s">
        <v>1180</v>
      </c>
      <c r="G321" s="1442"/>
    </row>
    <row r="322" spans="2:7" ht="12.75" customHeight="1" thickBot="1">
      <c r="B322" s="545"/>
      <c r="C322" s="733"/>
      <c r="D322" s="1443" t="s">
        <v>1225</v>
      </c>
      <c r="E322" s="1444"/>
      <c r="F322" s="1445" t="s">
        <v>1204</v>
      </c>
      <c r="G322" s="1444"/>
    </row>
    <row r="323" spans="2:7">
      <c r="B323" s="710" t="s">
        <v>1101</v>
      </c>
      <c r="C323" s="724"/>
      <c r="D323" s="17"/>
      <c r="E323" s="542"/>
      <c r="F323" s="724"/>
      <c r="G323" s="542"/>
    </row>
    <row r="324" spans="2:7">
      <c r="B324" s="72" t="s">
        <v>86</v>
      </c>
      <c r="C324" s="724"/>
      <c r="D324" s="17">
        <f>'BS &amp; Notes 2014-15'!D325</f>
        <v>0</v>
      </c>
      <c r="E324" s="542"/>
      <c r="F324" s="17">
        <f>'BS &amp; Notes 2010-11'!D291</f>
        <v>0</v>
      </c>
      <c r="G324" s="542"/>
    </row>
    <row r="325" spans="2:7">
      <c r="B325" s="72" t="s">
        <v>87</v>
      </c>
      <c r="C325" s="724"/>
      <c r="D325" s="17">
        <f>'BS &amp; Notes 2014-15'!D326</f>
        <v>501613</v>
      </c>
      <c r="E325" s="542"/>
      <c r="F325" s="17">
        <f>'BS &amp; Notes 2010-11'!D292</f>
        <v>0</v>
      </c>
      <c r="G325" s="542"/>
    </row>
    <row r="326" spans="2:7" ht="11.25" thickBot="1">
      <c r="B326" s="72" t="s">
        <v>88</v>
      </c>
      <c r="C326" s="724"/>
      <c r="D326" s="204">
        <f>'BS &amp; Notes 2014-15'!D327</f>
        <v>0</v>
      </c>
      <c r="E326" s="542"/>
      <c r="F326" s="204">
        <f>'BS &amp; Notes 2010-11'!D293</f>
        <v>0</v>
      </c>
      <c r="G326" s="542"/>
    </row>
    <row r="327" spans="2:7">
      <c r="B327" s="72" t="s">
        <v>89</v>
      </c>
      <c r="C327" s="724"/>
      <c r="D327" s="17">
        <f>+SUM(D324:D326)</f>
        <v>501613</v>
      </c>
      <c r="E327" s="542"/>
      <c r="F327" s="17">
        <f>+SUM(F324:F326)</f>
        <v>0</v>
      </c>
      <c r="G327" s="542"/>
    </row>
    <row r="328" spans="2:7" ht="21.75" thickBot="1">
      <c r="B328" s="72" t="s">
        <v>92</v>
      </c>
      <c r="C328" s="724"/>
      <c r="D328" s="204">
        <f>'BS &amp; Notes 2014-15'!D329</f>
        <v>0</v>
      </c>
      <c r="E328" s="827">
        <f>+D327-D328</f>
        <v>501613</v>
      </c>
      <c r="F328" s="204">
        <f>'BS &amp; Notes 2010-11'!D295</f>
        <v>0</v>
      </c>
      <c r="G328" s="542">
        <f>+F327-F328</f>
        <v>0</v>
      </c>
    </row>
    <row r="329" spans="2:7">
      <c r="B329" s="72"/>
      <c r="C329" s="724"/>
      <c r="D329" s="17"/>
      <c r="E329" s="542"/>
      <c r="F329" s="17"/>
      <c r="G329" s="542"/>
    </row>
    <row r="330" spans="2:7">
      <c r="B330" s="871" t="s">
        <v>1268</v>
      </c>
      <c r="C330" s="724"/>
      <c r="D330" s="17"/>
      <c r="E330" s="542"/>
      <c r="F330" s="17"/>
      <c r="G330" s="542"/>
    </row>
    <row r="331" spans="2:7">
      <c r="B331" s="72" t="s">
        <v>1102</v>
      </c>
      <c r="C331" s="724"/>
      <c r="D331" s="17">
        <f>'BS &amp; Notes 2014-15'!D332</f>
        <v>106305400</v>
      </c>
      <c r="E331" s="542"/>
      <c r="F331" s="724">
        <f>'BS &amp; Notes 2013-14'!D331</f>
        <v>0</v>
      </c>
      <c r="G331" s="542"/>
    </row>
    <row r="332" spans="2:7">
      <c r="B332" s="72" t="s">
        <v>1103</v>
      </c>
      <c r="C332" s="724"/>
      <c r="D332" s="17">
        <f>'BS &amp; Notes 2014-15'!D333</f>
        <v>19371376</v>
      </c>
      <c r="E332" s="542"/>
      <c r="F332" s="793">
        <f>'BS &amp; Notes 2013-14'!D332</f>
        <v>0</v>
      </c>
      <c r="G332" s="542"/>
    </row>
    <row r="333" spans="2:7">
      <c r="B333" s="72" t="s">
        <v>1104</v>
      </c>
      <c r="C333" s="724"/>
      <c r="D333" s="558">
        <f>'BS &amp; Notes 2014-15'!D334</f>
        <v>18761861</v>
      </c>
      <c r="E333" s="263"/>
      <c r="F333" s="558">
        <f>'BS &amp; Notes 2013-14'!D333</f>
        <v>0</v>
      </c>
      <c r="G333" s="542"/>
    </row>
    <row r="334" spans="2:7">
      <c r="B334" s="72" t="s">
        <v>93</v>
      </c>
      <c r="C334" s="724"/>
      <c r="D334" s="17">
        <f>+SUM(D331:D333)</f>
        <v>144438637</v>
      </c>
      <c r="E334" s="263"/>
      <c r="F334" s="262">
        <f>+SUM(F331:F333)</f>
        <v>0</v>
      </c>
      <c r="G334" s="542"/>
    </row>
    <row r="335" spans="2:7" ht="21">
      <c r="B335" s="72" t="s">
        <v>92</v>
      </c>
      <c r="C335" s="724"/>
      <c r="D335" s="558">
        <f>'BS &amp; Notes 2014-15'!D336</f>
        <v>18761861</v>
      </c>
      <c r="E335" s="724">
        <f>+D334-D335</f>
        <v>125676776</v>
      </c>
      <c r="F335" s="558">
        <f>'BS &amp; Notes 2013-14'!D335</f>
        <v>0</v>
      </c>
      <c r="G335" s="542">
        <f>+F334-F335</f>
        <v>0</v>
      </c>
    </row>
    <row r="336" spans="2:7">
      <c r="B336" s="72"/>
      <c r="C336" s="724"/>
      <c r="D336" s="262"/>
      <c r="E336" s="263"/>
      <c r="F336" s="262"/>
      <c r="G336" s="542"/>
    </row>
    <row r="337" spans="2:7" ht="21">
      <c r="B337" s="871" t="s">
        <v>1269</v>
      </c>
      <c r="C337" s="724"/>
      <c r="D337" s="262"/>
      <c r="E337" s="263"/>
      <c r="F337" s="262"/>
      <c r="G337" s="542"/>
    </row>
    <row r="338" spans="2:7">
      <c r="B338" s="72" t="s">
        <v>1102</v>
      </c>
      <c r="C338" s="724"/>
      <c r="D338" s="17">
        <f>'BS &amp; Notes 2014-15'!D339</f>
        <v>0</v>
      </c>
      <c r="E338" s="263"/>
      <c r="F338" s="793">
        <f>'BS &amp; Notes 2013-14'!D338</f>
        <v>0</v>
      </c>
      <c r="G338" s="542"/>
    </row>
    <row r="339" spans="2:7">
      <c r="B339" s="72" t="s">
        <v>1103</v>
      </c>
      <c r="C339" s="724"/>
      <c r="D339" s="17">
        <f>'BS &amp; Notes 2014-15'!D340</f>
        <v>237201801</v>
      </c>
      <c r="E339" s="263"/>
      <c r="F339" s="793">
        <f>'BS &amp; Notes 2013-14'!D339+217398187</f>
        <v>217398187</v>
      </c>
      <c r="G339" s="542"/>
    </row>
    <row r="340" spans="2:7" ht="11.25">
      <c r="B340" s="382" t="s">
        <v>203</v>
      </c>
      <c r="C340" s="878"/>
      <c r="D340" s="17">
        <f>'BS &amp; Notes 2014-15'!D341</f>
        <v>38649288</v>
      </c>
      <c r="E340" s="263"/>
      <c r="F340" s="878">
        <v>38649288</v>
      </c>
      <c r="G340" s="542"/>
    </row>
    <row r="341" spans="2:7">
      <c r="B341" s="72" t="s">
        <v>1104</v>
      </c>
      <c r="C341" s="724"/>
      <c r="D341" s="558">
        <f>'BS &amp; Notes 2014-15'!D342</f>
        <v>4847730</v>
      </c>
      <c r="E341" s="263"/>
      <c r="F341" s="558">
        <f>'BS &amp; Notes 2013-14'!D340</f>
        <v>0</v>
      </c>
      <c r="G341" s="542"/>
    </row>
    <row r="342" spans="2:7">
      <c r="B342" s="72" t="s">
        <v>93</v>
      </c>
      <c r="C342" s="724"/>
      <c r="D342" s="17">
        <f>+SUM(D338:D341)</f>
        <v>280698819</v>
      </c>
      <c r="E342" s="263"/>
      <c r="F342" s="262">
        <f>+SUM(F338:F341)</f>
        <v>256047475</v>
      </c>
      <c r="G342" s="542"/>
    </row>
    <row r="343" spans="2:7" ht="21">
      <c r="B343" s="72" t="s">
        <v>92</v>
      </c>
      <c r="C343" s="724"/>
      <c r="D343" s="558">
        <f>'BS &amp; Notes 2014-15'!D344</f>
        <v>4847730</v>
      </c>
      <c r="E343" s="263">
        <f>+D342-D343</f>
        <v>275851089</v>
      </c>
      <c r="F343" s="558">
        <f>'BS &amp; Notes 2013-14'!D342</f>
        <v>0</v>
      </c>
      <c r="G343" s="542">
        <f>+F342-F343</f>
        <v>256047475</v>
      </c>
    </row>
    <row r="344" spans="2:7">
      <c r="B344" s="72"/>
      <c r="C344" s="724"/>
      <c r="D344" s="17"/>
      <c r="E344" s="542"/>
      <c r="F344" s="17"/>
      <c r="G344" s="542"/>
    </row>
    <row r="345" spans="2:7">
      <c r="B345" s="871" t="s">
        <v>1270</v>
      </c>
      <c r="C345" s="724"/>
      <c r="D345" s="17"/>
      <c r="E345" s="542"/>
      <c r="F345" s="17"/>
      <c r="G345" s="542"/>
    </row>
    <row r="346" spans="2:7">
      <c r="B346" s="72" t="s">
        <v>1102</v>
      </c>
      <c r="C346" s="724"/>
      <c r="D346" s="17"/>
      <c r="E346" s="542"/>
      <c r="F346" s="724"/>
      <c r="G346" s="542"/>
    </row>
    <row r="347" spans="2:7" ht="14.25" customHeight="1">
      <c r="B347" s="739" t="s">
        <v>1034</v>
      </c>
      <c r="C347" s="724"/>
      <c r="D347" s="17">
        <f>'BS &amp; Notes 2014-15'!D348</f>
        <v>88401620</v>
      </c>
      <c r="E347" s="542"/>
      <c r="F347" s="793">
        <f>'BS &amp; Notes 2013-14'!D346</f>
        <v>0</v>
      </c>
      <c r="G347" s="542"/>
    </row>
    <row r="348" spans="2:7" ht="22.5">
      <c r="B348" s="740" t="s">
        <v>1035</v>
      </c>
      <c r="C348" s="724"/>
      <c r="D348" s="17">
        <f>'BS &amp; Notes 2014-15'!D349</f>
        <v>25020</v>
      </c>
      <c r="E348" s="542"/>
      <c r="F348" s="793">
        <f>'BS &amp; Notes 2013-14'!D347</f>
        <v>0</v>
      </c>
      <c r="G348" s="542"/>
    </row>
    <row r="349" spans="2:7" ht="11.25">
      <c r="B349" s="740" t="s">
        <v>1036</v>
      </c>
      <c r="C349" s="724"/>
      <c r="D349" s="17">
        <f>'BS &amp; Notes 2014-15'!D350</f>
        <v>171956623</v>
      </c>
      <c r="E349" s="542"/>
      <c r="F349" s="793">
        <f>'BS &amp; Notes 2013-14'!D348</f>
        <v>0</v>
      </c>
      <c r="G349" s="542"/>
    </row>
    <row r="350" spans="2:7">
      <c r="B350" s="72" t="s">
        <v>1103</v>
      </c>
      <c r="C350" s="724"/>
      <c r="D350" s="17"/>
      <c r="E350" s="542"/>
      <c r="F350" s="793"/>
      <c r="G350" s="542"/>
    </row>
    <row r="351" spans="2:7" ht="12.75" customHeight="1">
      <c r="B351" s="739" t="s">
        <v>1034</v>
      </c>
      <c r="C351" s="815"/>
      <c r="D351" s="17">
        <f>'BS &amp; Notes 2014-15'!D352</f>
        <v>319032</v>
      </c>
      <c r="E351" s="542"/>
      <c r="F351" s="815">
        <f>'BS &amp; Notes 2013-14'!D350-217398187</f>
        <v>-217398187</v>
      </c>
      <c r="G351" s="542"/>
    </row>
    <row r="352" spans="2:7" ht="22.5">
      <c r="B352" s="740" t="s">
        <v>564</v>
      </c>
      <c r="C352" s="724"/>
      <c r="D352" s="17">
        <f>'BS &amp; Notes 2014-15'!D353</f>
        <v>0</v>
      </c>
      <c r="E352" s="542"/>
      <c r="F352" s="793">
        <f>'BS &amp; Notes 2013-14'!D351-38649288</f>
        <v>-38649288</v>
      </c>
      <c r="G352" s="542"/>
    </row>
    <row r="353" spans="2:7" ht="11.25">
      <c r="B353" s="740" t="s">
        <v>565</v>
      </c>
      <c r="C353" s="724"/>
      <c r="D353" s="17">
        <f>'BS &amp; Notes 2014-15'!D354</f>
        <v>88218565</v>
      </c>
      <c r="E353" s="542"/>
      <c r="F353" s="793">
        <f>'BS &amp; Notes 2013-14'!D352</f>
        <v>0</v>
      </c>
      <c r="G353" s="542"/>
    </row>
    <row r="354" spans="2:7" ht="11.25">
      <c r="B354" s="740" t="s">
        <v>857</v>
      </c>
      <c r="C354" s="724"/>
      <c r="D354" s="17">
        <f>'BS &amp; Notes 2014-15'!D355</f>
        <v>189643285</v>
      </c>
      <c r="E354" s="542"/>
      <c r="F354" s="793">
        <f>'BS &amp; Notes 2013-14'!D353</f>
        <v>0</v>
      </c>
      <c r="G354" s="542"/>
    </row>
    <row r="355" spans="2:7" ht="11.25" thickBot="1">
      <c r="B355" s="72" t="s">
        <v>1104</v>
      </c>
      <c r="C355" s="724"/>
      <c r="D355" s="544">
        <f>'BS &amp; Notes 2014-15'!D356</f>
        <v>2486583031</v>
      </c>
      <c r="E355" s="542"/>
      <c r="F355" s="544">
        <f>'BS &amp; Notes 2013-14'!D354</f>
        <v>0</v>
      </c>
      <c r="G355" s="542"/>
    </row>
    <row r="356" spans="2:7">
      <c r="B356" s="72" t="s">
        <v>93</v>
      </c>
      <c r="C356" s="724"/>
      <c r="D356" s="17">
        <f>+SUM(D346:D355)</f>
        <v>3025147176</v>
      </c>
      <c r="E356" s="542"/>
      <c r="F356" s="17">
        <f>+SUM(F346:F355)</f>
        <v>-256047475</v>
      </c>
      <c r="G356" s="542"/>
    </row>
    <row r="357" spans="2:7" ht="21.75" thickBot="1">
      <c r="B357" s="72" t="s">
        <v>92</v>
      </c>
      <c r="C357" s="724"/>
      <c r="D357" s="544">
        <f>'BS &amp; Notes 2014-15'!D358</f>
        <v>2486583031</v>
      </c>
      <c r="E357" s="542">
        <f>+D356-D357</f>
        <v>538564145</v>
      </c>
      <c r="F357" s="544">
        <f>'BS &amp; Notes 2013-14'!D356</f>
        <v>0</v>
      </c>
      <c r="G357" s="263">
        <f>+F356-F357</f>
        <v>-256047475</v>
      </c>
    </row>
    <row r="358" spans="2:7">
      <c r="B358" s="72"/>
      <c r="C358" s="724"/>
      <c r="D358" s="17"/>
      <c r="E358" s="542"/>
      <c r="F358" s="724"/>
      <c r="G358" s="263"/>
    </row>
    <row r="359" spans="2:7" ht="11.25" thickBot="1">
      <c r="B359" s="72"/>
      <c r="C359" s="724"/>
      <c r="D359" s="17"/>
      <c r="E359" s="12"/>
      <c r="F359" s="17"/>
      <c r="G359" s="265"/>
    </row>
    <row r="360" spans="2:7" ht="11.25" thickBot="1">
      <c r="B360" s="509" t="s">
        <v>860</v>
      </c>
      <c r="C360" s="718"/>
      <c r="D360" s="544"/>
      <c r="E360" s="4">
        <f>SUM(E323:E359)</f>
        <v>940593623</v>
      </c>
      <c r="F360" s="715"/>
      <c r="G360" s="292">
        <f>SUM(G323:G359)</f>
        <v>0</v>
      </c>
    </row>
    <row r="362" spans="2:7" ht="36.75" customHeight="1">
      <c r="B362" s="1437" t="s">
        <v>927</v>
      </c>
      <c r="C362" s="1437"/>
      <c r="D362" s="1437"/>
      <c r="E362" s="1437"/>
      <c r="F362" s="1437"/>
      <c r="G362" s="1437"/>
    </row>
    <row r="365" spans="2:7">
      <c r="B365" s="70" t="s">
        <v>1105</v>
      </c>
    </row>
    <row r="366" spans="2:7" ht="12" thickBot="1">
      <c r="B366" s="70"/>
      <c r="F366" s="1442" t="s">
        <v>1180</v>
      </c>
      <c r="G366" s="1442"/>
    </row>
    <row r="367" spans="2:7" ht="15.75" customHeight="1" thickBot="1">
      <c r="B367" s="118"/>
      <c r="C367" s="733"/>
      <c r="D367" s="1443" t="s">
        <v>1225</v>
      </c>
      <c r="E367" s="1444"/>
      <c r="F367" s="1443" t="s">
        <v>1204</v>
      </c>
      <c r="G367" s="1444"/>
    </row>
    <row r="368" spans="2:7">
      <c r="B368" s="130" t="s">
        <v>1106</v>
      </c>
      <c r="C368" s="724"/>
      <c r="D368" s="17"/>
      <c r="E368" s="542"/>
      <c r="F368" s="17"/>
      <c r="G368" s="542"/>
    </row>
    <row r="369" spans="2:7" ht="31.5">
      <c r="B369" s="119" t="s">
        <v>1107</v>
      </c>
      <c r="C369" s="724"/>
      <c r="D369" s="17">
        <f>'BS &amp; Notes 2014-15'!D370</f>
        <v>0</v>
      </c>
      <c r="E369" s="542"/>
      <c r="F369" s="793">
        <f>'BS &amp; Notes 2013-14'!D368</f>
        <v>0</v>
      </c>
      <c r="G369" s="542"/>
    </row>
    <row r="370" spans="2:7">
      <c r="B370" s="119" t="s">
        <v>1108</v>
      </c>
      <c r="C370" s="724"/>
      <c r="D370" s="17">
        <f>'BS &amp; Notes 2014-15'!D371</f>
        <v>10510458</v>
      </c>
      <c r="E370" s="542"/>
      <c r="F370" s="793">
        <f>'BS &amp; Notes 2013-14'!D369</f>
        <v>0</v>
      </c>
      <c r="G370" s="542"/>
    </row>
    <row r="371" spans="2:7" ht="11.25" thickBot="1">
      <c r="B371" s="119" t="s">
        <v>1109</v>
      </c>
      <c r="C371" s="724"/>
      <c r="D371" s="544">
        <f>'BS &amp; Notes 2014-15'!D372</f>
        <v>3751730711</v>
      </c>
      <c r="E371" s="542"/>
      <c r="F371" s="544">
        <f>'BS &amp; Notes 2013-14'!D370</f>
        <v>0</v>
      </c>
      <c r="G371" s="542"/>
    </row>
    <row r="372" spans="2:7">
      <c r="B372" s="119" t="s">
        <v>93</v>
      </c>
      <c r="C372" s="724"/>
      <c r="D372" s="17">
        <f>SUM(D369:D371)</f>
        <v>3762241169</v>
      </c>
      <c r="E372" s="542"/>
      <c r="F372" s="17">
        <f>SUM(F369:F371)</f>
        <v>0</v>
      </c>
      <c r="G372" s="542"/>
    </row>
    <row r="373" spans="2:7" ht="21.75" thickBot="1">
      <c r="B373" s="707" t="s">
        <v>257</v>
      </c>
      <c r="C373" s="724"/>
      <c r="D373" s="544">
        <f>'BS &amp; Notes 2014-15'!D374</f>
        <v>3753915831</v>
      </c>
      <c r="E373" s="263">
        <f>+D372-D373</f>
        <v>8325338</v>
      </c>
      <c r="F373" s="544">
        <f>'BS &amp; Notes 2013-14'!D372</f>
        <v>0</v>
      </c>
      <c r="G373" s="263">
        <f>+F372-F373</f>
        <v>0</v>
      </c>
    </row>
    <row r="374" spans="2:7">
      <c r="B374" s="101" t="s">
        <v>1067</v>
      </c>
      <c r="C374" s="724"/>
      <c r="D374" s="17"/>
      <c r="E374" s="542"/>
      <c r="F374" s="17"/>
      <c r="G374" s="263"/>
    </row>
    <row r="375" spans="2:7">
      <c r="B375" s="119" t="s">
        <v>1110</v>
      </c>
      <c r="C375" s="724"/>
      <c r="D375" s="17">
        <f>'BS &amp; Notes 2014-15'!D376</f>
        <v>0</v>
      </c>
      <c r="E375" s="542"/>
      <c r="F375" s="17">
        <f>'BS &amp; Notes 2010-11'!D340</f>
        <v>0</v>
      </c>
      <c r="G375" s="263"/>
    </row>
    <row r="376" spans="2:7">
      <c r="B376" s="119" t="s">
        <v>1111</v>
      </c>
      <c r="C376" s="724"/>
      <c r="D376" s="17">
        <f>'BS &amp; Notes 2014-15'!D377</f>
        <v>0</v>
      </c>
      <c r="E376" s="542"/>
      <c r="F376" s="17">
        <f>'BS &amp; Notes 2010-11'!D341</f>
        <v>0</v>
      </c>
      <c r="G376" s="263"/>
    </row>
    <row r="377" spans="2:7" ht="11.25" thickBot="1">
      <c r="B377" s="119" t="s">
        <v>1112</v>
      </c>
      <c r="C377" s="724"/>
      <c r="D377" s="544">
        <f>'BS &amp; Notes 2014-15'!D378</f>
        <v>0</v>
      </c>
      <c r="E377" s="542"/>
      <c r="F377" s="544">
        <f>'BS &amp; Notes 2010-11'!D342</f>
        <v>0</v>
      </c>
      <c r="G377" s="263"/>
    </row>
    <row r="378" spans="2:7">
      <c r="B378" s="119" t="s">
        <v>93</v>
      </c>
      <c r="C378" s="724"/>
      <c r="D378" s="17">
        <f>SUM(D375:D377)</f>
        <v>0</v>
      </c>
      <c r="E378" s="542"/>
      <c r="F378" s="17">
        <f>SUM(F375:F377)</f>
        <v>0</v>
      </c>
      <c r="G378" s="263"/>
    </row>
    <row r="379" spans="2:7" ht="21.75" thickBot="1">
      <c r="B379" s="707" t="s">
        <v>357</v>
      </c>
      <c r="C379" s="724"/>
      <c r="D379" s="544">
        <f>'BS &amp; Notes 2014-15'!D380</f>
        <v>0</v>
      </c>
      <c r="E379" s="263">
        <f>+D378-D379</f>
        <v>0</v>
      </c>
      <c r="F379" s="544">
        <f>'BS &amp; Notes 2010-11'!D344</f>
        <v>0</v>
      </c>
      <c r="G379" s="263">
        <f>+F378-F379</f>
        <v>0</v>
      </c>
    </row>
    <row r="380" spans="2:7" ht="11.25" thickBot="1">
      <c r="B380" s="707"/>
      <c r="C380" s="724"/>
      <c r="D380" s="17"/>
      <c r="E380" s="12"/>
      <c r="F380" s="17"/>
      <c r="G380" s="265"/>
    </row>
    <row r="381" spans="2:7" ht="11.25" thickBot="1">
      <c r="B381" s="509" t="s">
        <v>860</v>
      </c>
      <c r="C381" s="718"/>
      <c r="D381" s="544"/>
      <c r="E381" s="292">
        <f>+SUM(E368:E380)</f>
        <v>8325338</v>
      </c>
      <c r="F381" s="716"/>
      <c r="G381" s="292">
        <f>+SUM(G368:G380)</f>
        <v>0</v>
      </c>
    </row>
    <row r="383" spans="2:7" ht="33" customHeight="1">
      <c r="B383" s="1437" t="s">
        <v>943</v>
      </c>
      <c r="C383" s="1437"/>
      <c r="D383" s="1437"/>
      <c r="E383" s="1437"/>
      <c r="F383" s="1437"/>
      <c r="G383" s="1437"/>
    </row>
    <row r="384" spans="2:7" ht="11.25">
      <c r="B384" s="658"/>
    </row>
    <row r="385" spans="2:7">
      <c r="B385" s="70" t="s">
        <v>1113</v>
      </c>
    </row>
    <row r="387" spans="2:7">
      <c r="B387" s="70" t="s">
        <v>1114</v>
      </c>
    </row>
    <row r="389" spans="2:7" ht="12" thickBot="1">
      <c r="F389" s="1442" t="s">
        <v>1180</v>
      </c>
      <c r="G389" s="1442"/>
    </row>
    <row r="390" spans="2:7" ht="11.25" thickBot="1">
      <c r="B390" s="111"/>
      <c r="C390" s="19"/>
      <c r="D390" s="1431" t="s">
        <v>1225</v>
      </c>
      <c r="E390" s="1432"/>
      <c r="F390" s="1431" t="s">
        <v>1204</v>
      </c>
      <c r="G390" s="1432"/>
    </row>
    <row r="391" spans="2:7">
      <c r="B391" s="546"/>
      <c r="C391" s="543"/>
      <c r="D391" s="546"/>
      <c r="E391" s="543"/>
      <c r="F391" s="546"/>
      <c r="G391" s="543"/>
    </row>
    <row r="392" spans="2:7">
      <c r="B392" s="101" t="s">
        <v>1115</v>
      </c>
      <c r="C392" s="542"/>
      <c r="D392" s="17"/>
      <c r="E392" s="542"/>
      <c r="F392" s="17"/>
      <c r="G392" s="542"/>
    </row>
    <row r="393" spans="2:7" ht="11.25">
      <c r="B393" s="420" t="s">
        <v>1184</v>
      </c>
      <c r="C393" s="542"/>
      <c r="D393" s="555">
        <f>'BS &amp; Notes 2014-15'!D394</f>
        <v>0</v>
      </c>
      <c r="E393" s="542"/>
      <c r="F393" s="793">
        <f>'BS &amp; Notes 2013-14'!D392</f>
        <v>0</v>
      </c>
      <c r="G393" s="542"/>
    </row>
    <row r="394" spans="2:7" ht="21">
      <c r="B394" s="814" t="s">
        <v>1216</v>
      </c>
      <c r="C394" s="542"/>
      <c r="D394" s="555">
        <f>'BS &amp; Notes 2014-15'!D395</f>
        <v>0</v>
      </c>
      <c r="E394" s="542"/>
      <c r="F394" s="823">
        <f>'BS &amp; Notes 2013-14'!D393</f>
        <v>0</v>
      </c>
      <c r="G394" s="542"/>
    </row>
    <row r="395" spans="2:7">
      <c r="B395" s="707"/>
      <c r="C395" s="542"/>
      <c r="D395" s="555"/>
      <c r="E395" s="542"/>
      <c r="F395" s="555">
        <f>'BS &amp; Notes 2013-14'!D394</f>
        <v>0</v>
      </c>
      <c r="G395" s="542"/>
    </row>
    <row r="396" spans="2:7" ht="14.25" customHeight="1" thickBot="1">
      <c r="B396" s="707"/>
      <c r="C396" s="542"/>
      <c r="D396" s="532"/>
      <c r="E396" s="530">
        <f>+SUM(D393:D396)</f>
        <v>0</v>
      </c>
      <c r="F396" s="532">
        <f>'BS &amp; Notes 2013-14'!D395</f>
        <v>0</v>
      </c>
      <c r="G396" s="542">
        <f>+SUM(F393:F396)</f>
        <v>0</v>
      </c>
    </row>
    <row r="397" spans="2:7">
      <c r="B397" s="707"/>
      <c r="C397" s="542"/>
      <c r="D397" s="17"/>
      <c r="E397" s="542"/>
      <c r="F397" s="17"/>
      <c r="G397" s="530"/>
    </row>
    <row r="398" spans="2:7" ht="21">
      <c r="B398" s="101" t="s">
        <v>1120</v>
      </c>
      <c r="C398" s="542"/>
      <c r="D398" s="17"/>
      <c r="F398" s="17"/>
      <c r="G398" s="530"/>
    </row>
    <row r="399" spans="2:7">
      <c r="B399" s="113" t="s">
        <v>1182</v>
      </c>
      <c r="C399" s="542"/>
      <c r="D399" s="17"/>
      <c r="E399" s="542">
        <f>'BS &amp; Notes 2014-15'!E400</f>
        <v>0</v>
      </c>
      <c r="F399" s="17"/>
      <c r="G399" s="542">
        <f>'BS &amp; Notes 2013-14'!E398</f>
        <v>0</v>
      </c>
    </row>
    <row r="400" spans="2:7">
      <c r="B400" s="748"/>
      <c r="C400" s="542"/>
      <c r="D400" s="17"/>
      <c r="E400" s="542"/>
      <c r="F400" s="17"/>
      <c r="G400" s="530"/>
    </row>
    <row r="401" spans="2:7">
      <c r="B401" s="101" t="s">
        <v>1121</v>
      </c>
      <c r="C401" s="542"/>
      <c r="D401" s="17"/>
      <c r="E401" s="542"/>
      <c r="F401" s="17"/>
      <c r="G401" s="530"/>
    </row>
    <row r="402" spans="2:7">
      <c r="B402" s="707" t="s">
        <v>1116</v>
      </c>
      <c r="C402" s="542"/>
      <c r="D402" s="555">
        <f>'BS &amp; Notes 2014-15'!D402</f>
        <v>0</v>
      </c>
      <c r="E402" s="542"/>
      <c r="F402" s="555">
        <f>'BS &amp; Notes 2013-14'!D400</f>
        <v>0</v>
      </c>
      <c r="G402" s="530"/>
    </row>
    <row r="403" spans="2:7">
      <c r="B403" s="707" t="s">
        <v>1117</v>
      </c>
      <c r="C403" s="542"/>
      <c r="D403" s="555">
        <f>'BS &amp; Notes 2014-15'!D403</f>
        <v>0</v>
      </c>
      <c r="E403" s="542" t="s">
        <v>371</v>
      </c>
      <c r="F403" s="555">
        <f>'BS &amp; Notes 2013-14'!D401</f>
        <v>0</v>
      </c>
      <c r="G403" s="530"/>
    </row>
    <row r="404" spans="2:7">
      <c r="B404" s="707" t="s">
        <v>1118</v>
      </c>
      <c r="C404" s="542"/>
      <c r="D404" s="555">
        <f>'BS &amp; Notes 2014-15'!D404</f>
        <v>0</v>
      </c>
      <c r="E404" s="542"/>
      <c r="F404" s="555">
        <f>'BS &amp; Notes 2013-14'!D402</f>
        <v>0</v>
      </c>
      <c r="G404" s="530"/>
    </row>
    <row r="405" spans="2:7" ht="14.25" customHeight="1" thickBot="1">
      <c r="B405" s="707" t="s">
        <v>1119</v>
      </c>
      <c r="C405" s="542"/>
      <c r="D405" s="532">
        <f>'BS &amp; Notes 2014-15'!D405</f>
        <v>0</v>
      </c>
      <c r="E405" s="530">
        <f>+SUM(D402:D405)</f>
        <v>0</v>
      </c>
      <c r="F405" s="532">
        <f>'BS &amp; Notes 2013-14'!D403</f>
        <v>0</v>
      </c>
      <c r="G405" s="530">
        <f>+SUM(F402:F405)</f>
        <v>0</v>
      </c>
    </row>
    <row r="406" spans="2:7" ht="11.25" thickBot="1">
      <c r="B406" s="707"/>
      <c r="C406" s="542"/>
      <c r="D406" s="17"/>
      <c r="E406" s="533"/>
      <c r="F406" s="17"/>
      <c r="G406" s="533"/>
    </row>
    <row r="407" spans="2:7" ht="11.25" thickBot="1">
      <c r="B407" s="515" t="s">
        <v>806</v>
      </c>
      <c r="C407" s="542"/>
      <c r="D407" s="17"/>
      <c r="E407" s="655">
        <f>+SUM(E392:E406)</f>
        <v>0</v>
      </c>
      <c r="F407" s="723"/>
      <c r="G407" s="655">
        <f>+SUM(G392:G406)</f>
        <v>0</v>
      </c>
    </row>
    <row r="408" spans="2:7" ht="12" thickTop="1" thickBot="1">
      <c r="B408" s="544"/>
      <c r="C408" s="12"/>
      <c r="D408" s="544"/>
      <c r="E408" s="12"/>
      <c r="F408" s="544"/>
      <c r="G408" s="12"/>
    </row>
    <row r="410" spans="2:7" ht="34.5" customHeight="1">
      <c r="B410" s="1437" t="s">
        <v>928</v>
      </c>
      <c r="C410" s="1437"/>
      <c r="D410" s="1437"/>
      <c r="E410" s="1437"/>
      <c r="F410" s="1437"/>
      <c r="G410" s="1437"/>
    </row>
    <row r="412" spans="2:7">
      <c r="B412" s="70" t="s">
        <v>113</v>
      </c>
    </row>
    <row r="414" spans="2:7" ht="12" thickBot="1">
      <c r="F414" s="1442" t="s">
        <v>1180</v>
      </c>
      <c r="G414" s="1442"/>
    </row>
    <row r="415" spans="2:7" ht="11.25" thickBot="1">
      <c r="B415" s="111"/>
      <c r="C415" s="19"/>
      <c r="D415" s="1431" t="s">
        <v>1225</v>
      </c>
      <c r="E415" s="1432"/>
      <c r="F415" s="1433" t="s">
        <v>1204</v>
      </c>
      <c r="G415" s="1432"/>
    </row>
    <row r="416" spans="2:7">
      <c r="B416" s="17"/>
      <c r="C416" s="542"/>
      <c r="D416" s="262"/>
      <c r="E416" s="263"/>
      <c r="F416" s="269"/>
      <c r="G416" s="263"/>
    </row>
    <row r="417" spans="2:7">
      <c r="B417" s="119" t="s">
        <v>1122</v>
      </c>
      <c r="C417" s="542"/>
      <c r="D417" s="262">
        <f>'BS &amp; Notes 2014-15'!D417</f>
        <v>233907929</v>
      </c>
      <c r="E417" s="263"/>
      <c r="F417" s="793">
        <f>'BS &amp; Notes 2013-14'!D415</f>
        <v>0</v>
      </c>
      <c r="G417" s="263"/>
    </row>
    <row r="418" spans="2:7">
      <c r="B418" s="119" t="s">
        <v>1123</v>
      </c>
      <c r="C418" s="542"/>
      <c r="D418" s="262">
        <f>'BS &amp; Notes 2014-15'!D418</f>
        <v>0</v>
      </c>
      <c r="E418" s="263"/>
      <c r="F418" s="793">
        <f>'BS &amp; Notes 2013-14'!D416</f>
        <v>0</v>
      </c>
      <c r="G418" s="263"/>
    </row>
    <row r="419" spans="2:7">
      <c r="B419" s="119" t="s">
        <v>1124</v>
      </c>
      <c r="C419" s="542"/>
      <c r="D419" s="262">
        <f>'BS &amp; Notes 2014-15'!D419</f>
        <v>358501200</v>
      </c>
      <c r="E419" s="263"/>
      <c r="F419" s="793">
        <f>'BS &amp; Notes 2013-14'!D417</f>
        <v>0</v>
      </c>
      <c r="G419" s="263"/>
    </row>
    <row r="420" spans="2:7">
      <c r="B420" s="119" t="s">
        <v>1125</v>
      </c>
      <c r="C420" s="542"/>
      <c r="D420" s="262">
        <f>'BS &amp; Notes 2014-15'!D420</f>
        <v>2601626259</v>
      </c>
      <c r="E420" s="263"/>
      <c r="F420" s="793">
        <f>'BS &amp; Notes 2013-14'!D418</f>
        <v>0</v>
      </c>
      <c r="G420" s="263"/>
    </row>
    <row r="421" spans="2:7" ht="25.5" customHeight="1">
      <c r="B421" s="96" t="s">
        <v>1126</v>
      </c>
      <c r="C421" s="542"/>
      <c r="D421" s="262"/>
      <c r="E421" s="263"/>
      <c r="F421" s="269">
        <f>'BS &amp; Notes 2013-14'!D419</f>
        <v>0</v>
      </c>
      <c r="G421" s="263"/>
    </row>
    <row r="422" spans="2:7">
      <c r="B422" s="119" t="s">
        <v>1127</v>
      </c>
      <c r="C422" s="542"/>
      <c r="D422" s="262">
        <f>'BS &amp; Notes 2014-15'!D422</f>
        <v>0</v>
      </c>
      <c r="E422" s="263"/>
      <c r="F422" s="793">
        <f>'BS &amp; Notes 2013-14'!D420</f>
        <v>0</v>
      </c>
      <c r="G422" s="263"/>
    </row>
    <row r="423" spans="2:7">
      <c r="B423" s="119" t="s">
        <v>1128</v>
      </c>
      <c r="C423" s="542"/>
      <c r="D423" s="262">
        <f>'BS &amp; Notes 2014-15'!D423</f>
        <v>0</v>
      </c>
      <c r="E423" s="263"/>
      <c r="F423" s="793">
        <f>'BS &amp; Notes 2013-14'!D421</f>
        <v>0</v>
      </c>
      <c r="G423" s="263"/>
    </row>
    <row r="424" spans="2:7">
      <c r="B424" s="119" t="s">
        <v>1129</v>
      </c>
      <c r="C424" s="542"/>
      <c r="D424" s="262">
        <f>'BS &amp; Notes 2014-15'!D424</f>
        <v>0</v>
      </c>
      <c r="E424" s="263"/>
      <c r="F424" s="793">
        <f>'BS &amp; Notes 2013-14'!D422</f>
        <v>0</v>
      </c>
      <c r="G424" s="263"/>
    </row>
    <row r="425" spans="2:7" ht="11.25" thickBot="1">
      <c r="B425" s="119" t="s">
        <v>1130</v>
      </c>
      <c r="C425" s="542"/>
      <c r="D425" s="264">
        <f>'BS &amp; Notes 2014-15'!D425</f>
        <v>0</v>
      </c>
      <c r="E425" s="263">
        <f>+SUM(D417:D425)</f>
        <v>3194035388</v>
      </c>
      <c r="F425" s="264">
        <f>'BS &amp; Notes 2013-14'!D423</f>
        <v>0</v>
      </c>
      <c r="G425" s="263">
        <f>+SUM(F417:F425)</f>
        <v>0</v>
      </c>
    </row>
    <row r="426" spans="2:7" ht="11.25" thickBot="1">
      <c r="B426" s="72"/>
      <c r="C426" s="542"/>
      <c r="D426" s="262"/>
      <c r="E426" s="265"/>
      <c r="F426" s="269"/>
      <c r="G426" s="265"/>
    </row>
    <row r="427" spans="2:7" ht="11.25" thickBot="1">
      <c r="B427" s="515" t="s">
        <v>806</v>
      </c>
      <c r="C427" s="542"/>
      <c r="D427" s="262"/>
      <c r="E427" s="580">
        <f>SUM(E416:E426)</f>
        <v>3194035388</v>
      </c>
      <c r="F427" s="296"/>
      <c r="G427" s="580">
        <f>SUM(G416:G426)</f>
        <v>0</v>
      </c>
    </row>
    <row r="428" spans="2:7" ht="12" thickTop="1" thickBot="1">
      <c r="B428" s="544"/>
      <c r="C428" s="12"/>
      <c r="D428" s="264"/>
      <c r="E428" s="265"/>
      <c r="F428" s="517"/>
      <c r="G428" s="265"/>
    </row>
    <row r="430" spans="2:7" ht="11.25" customHeight="1">
      <c r="B430" s="1436" t="s">
        <v>123</v>
      </c>
      <c r="C430" s="1436"/>
      <c r="D430" s="1436"/>
      <c r="E430" s="1436"/>
      <c r="F430" s="1436"/>
      <c r="G430" s="1436"/>
    </row>
    <row r="432" spans="2:7" ht="12" customHeight="1">
      <c r="B432" s="1436" t="s">
        <v>126</v>
      </c>
      <c r="C432" s="1436"/>
      <c r="D432" s="1436"/>
      <c r="E432" s="1436"/>
      <c r="F432" s="1436"/>
      <c r="G432" s="1436"/>
    </row>
    <row r="434" spans="2:7" ht="11.25" customHeight="1">
      <c r="B434" s="1436" t="s">
        <v>124</v>
      </c>
      <c r="C434" s="1436"/>
      <c r="D434" s="1436"/>
      <c r="E434" s="1436"/>
      <c r="F434" s="1436"/>
      <c r="G434" s="1436"/>
    </row>
    <row r="436" spans="2:7" ht="11.25" customHeight="1">
      <c r="B436" s="1436" t="s">
        <v>125</v>
      </c>
      <c r="C436" s="1436"/>
      <c r="D436" s="1436"/>
      <c r="E436" s="1436"/>
      <c r="F436" s="1436"/>
      <c r="G436" s="1436"/>
    </row>
    <row r="438" spans="2:7" ht="12" thickBot="1">
      <c r="F438" s="1442" t="s">
        <v>1180</v>
      </c>
      <c r="G438" s="1442"/>
    </row>
    <row r="439" spans="2:7" ht="11.25" thickBot="1">
      <c r="B439" s="215" t="s">
        <v>127</v>
      </c>
      <c r="C439" s="19"/>
      <c r="D439" s="1431" t="s">
        <v>1225</v>
      </c>
      <c r="E439" s="1432"/>
      <c r="F439" s="1433" t="s">
        <v>1204</v>
      </c>
      <c r="G439" s="1432"/>
    </row>
    <row r="440" spans="2:7" ht="11.25" thickBot="1">
      <c r="B440" s="18"/>
      <c r="C440" s="543"/>
      <c r="D440" s="84" t="s">
        <v>128</v>
      </c>
      <c r="E440" s="703" t="s">
        <v>129</v>
      </c>
      <c r="F440" s="84" t="s">
        <v>128</v>
      </c>
      <c r="G440" s="703" t="s">
        <v>129</v>
      </c>
    </row>
    <row r="441" spans="2:7">
      <c r="B441" s="96" t="s">
        <v>130</v>
      </c>
      <c r="C441" s="542"/>
      <c r="D441" s="8">
        <v>1064</v>
      </c>
      <c r="E441" s="817">
        <v>2630.6568269999998</v>
      </c>
      <c r="F441" s="8">
        <v>2218</v>
      </c>
      <c r="G441" s="817">
        <v>5956.1</v>
      </c>
    </row>
    <row r="442" spans="2:7">
      <c r="B442" s="96" t="s">
        <v>131</v>
      </c>
      <c r="C442" s="542"/>
      <c r="D442" s="587">
        <v>0</v>
      </c>
      <c r="E442" s="817">
        <v>10.22803</v>
      </c>
      <c r="F442" s="587">
        <v>0</v>
      </c>
      <c r="G442" s="817">
        <v>5.4</v>
      </c>
    </row>
    <row r="443" spans="2:7">
      <c r="B443" s="96" t="s">
        <v>132</v>
      </c>
      <c r="C443" s="542"/>
      <c r="D443" s="640">
        <v>14792.11</v>
      </c>
      <c r="E443" s="817">
        <v>510.007789</v>
      </c>
      <c r="F443" s="640">
        <v>1550</v>
      </c>
      <c r="G443" s="542">
        <v>61.08</v>
      </c>
    </row>
    <row r="444" spans="2:7" ht="11.25" thickBot="1">
      <c r="B444" s="544"/>
      <c r="C444" s="12"/>
      <c r="D444" s="18"/>
      <c r="E444" s="12"/>
      <c r="F444" s="18"/>
      <c r="G444" s="12"/>
    </row>
    <row r="446" spans="2:7">
      <c r="B446" s="70" t="s">
        <v>1131</v>
      </c>
    </row>
    <row r="447" spans="2:7" ht="12" thickBot="1">
      <c r="F447" s="1442" t="s">
        <v>1180</v>
      </c>
      <c r="G447" s="1442"/>
    </row>
    <row r="448" spans="2:7" ht="11.25" thickBot="1">
      <c r="B448" s="120"/>
      <c r="C448" s="19"/>
      <c r="D448" s="1431" t="s">
        <v>1225</v>
      </c>
      <c r="E448" s="1432"/>
      <c r="F448" s="1433" t="s">
        <v>1204</v>
      </c>
      <c r="G448" s="1432"/>
    </row>
    <row r="449" spans="2:7" ht="14.25">
      <c r="B449" s="122"/>
      <c r="C449" s="717"/>
      <c r="D449" s="546"/>
      <c r="E449" s="543"/>
      <c r="F449" s="717"/>
      <c r="G449" s="543"/>
    </row>
    <row r="450" spans="2:7" ht="30.75" customHeight="1">
      <c r="B450" s="1448" t="s">
        <v>1132</v>
      </c>
      <c r="C450" s="724"/>
      <c r="D450" s="262"/>
      <c r="E450" s="263"/>
      <c r="F450" s="269"/>
      <c r="G450" s="263"/>
    </row>
    <row r="451" spans="2:7" ht="3" customHeight="1">
      <c r="B451" s="1448"/>
      <c r="C451" s="724"/>
      <c r="D451" s="262"/>
      <c r="E451" s="263"/>
      <c r="F451" s="269"/>
      <c r="G451" s="263"/>
    </row>
    <row r="452" spans="2:7">
      <c r="B452" s="364" t="s">
        <v>1133</v>
      </c>
      <c r="C452" s="724"/>
      <c r="D452" s="262">
        <f>'BS &amp; Notes 2014-15'!D452</f>
        <v>529924773</v>
      </c>
      <c r="E452" s="263"/>
      <c r="F452" s="269">
        <f>'BS &amp; Notes 2013-14'!D450</f>
        <v>0</v>
      </c>
      <c r="G452" s="263"/>
    </row>
    <row r="453" spans="2:7">
      <c r="B453" s="364" t="s">
        <v>1134</v>
      </c>
      <c r="C453" s="724"/>
      <c r="D453" s="262">
        <f>'BS &amp; Notes 2014-15'!D453</f>
        <v>3121854572</v>
      </c>
      <c r="E453" s="263"/>
      <c r="F453" s="269">
        <f>'BS &amp; Notes 2013-14'!D451</f>
        <v>0</v>
      </c>
      <c r="G453" s="263"/>
    </row>
    <row r="454" spans="2:7" ht="11.25" thickBot="1">
      <c r="B454" s="364" t="s">
        <v>1135</v>
      </c>
      <c r="C454" s="724"/>
      <c r="D454" s="264">
        <f>'BS &amp; Notes 2014-15'!D454</f>
        <v>205596752</v>
      </c>
      <c r="E454" s="263"/>
      <c r="F454" s="264">
        <f>'BS &amp; Notes 2013-14'!D452</f>
        <v>0</v>
      </c>
      <c r="G454" s="263"/>
    </row>
    <row r="455" spans="2:7">
      <c r="B455" s="72"/>
      <c r="C455" s="724"/>
      <c r="D455" s="262">
        <f>+SUM(D451:D454)</f>
        <v>3857376097</v>
      </c>
      <c r="E455" s="263"/>
      <c r="F455" s="262">
        <f>+SUM(F451:F454)</f>
        <v>0</v>
      </c>
      <c r="G455" s="263"/>
    </row>
    <row r="456" spans="2:7" ht="11.25" thickBot="1">
      <c r="B456" s="72" t="s">
        <v>134</v>
      </c>
      <c r="C456" s="724"/>
      <c r="D456" s="264">
        <f>'BS &amp; Notes 2014-15'!D456</f>
        <v>205596752</v>
      </c>
      <c r="E456" s="263">
        <f>+D455-D456</f>
        <v>3651779345</v>
      </c>
      <c r="F456" s="264">
        <f>'BS &amp; Notes 2013-14'!D454</f>
        <v>0</v>
      </c>
      <c r="G456" s="263">
        <f>+F455-F456</f>
        <v>0</v>
      </c>
    </row>
    <row r="457" spans="2:7">
      <c r="B457" s="72"/>
      <c r="C457" s="724"/>
      <c r="D457" s="262"/>
      <c r="E457" s="263"/>
      <c r="F457" s="262"/>
      <c r="G457" s="263"/>
    </row>
    <row r="458" spans="2:7">
      <c r="B458" s="710" t="s">
        <v>1136</v>
      </c>
      <c r="C458" s="724"/>
      <c r="D458" s="262"/>
      <c r="E458" s="263"/>
      <c r="F458" s="262"/>
      <c r="G458" s="263"/>
    </row>
    <row r="459" spans="2:7">
      <c r="B459" s="364" t="s">
        <v>1133</v>
      </c>
      <c r="C459" s="724"/>
      <c r="D459" s="262">
        <f>'BS &amp; Notes 2014-15'!D459</f>
        <v>3553625710</v>
      </c>
      <c r="E459" s="263"/>
      <c r="F459" s="269">
        <f>'BS &amp; Notes 2013-14'!D457</f>
        <v>0</v>
      </c>
      <c r="G459" s="263"/>
    </row>
    <row r="460" spans="2:7">
      <c r="B460" s="364" t="s">
        <v>1134</v>
      </c>
      <c r="C460" s="724"/>
      <c r="D460" s="262">
        <f>'BS &amp; Notes 2014-15'!D460</f>
        <v>23145343279</v>
      </c>
      <c r="E460" s="263"/>
      <c r="F460" s="269">
        <f>'BS &amp; Notes 2013-14'!D458</f>
        <v>0</v>
      </c>
      <c r="G460" s="263"/>
    </row>
    <row r="461" spans="2:7" ht="11.25" thickBot="1">
      <c r="B461" s="364" t="s">
        <v>1135</v>
      </c>
      <c r="C461" s="724"/>
      <c r="D461" s="532">
        <f>'BS &amp; Notes 2014-15'!D461</f>
        <v>0</v>
      </c>
      <c r="E461" s="263"/>
      <c r="F461" s="264">
        <f>'BS &amp; Notes 2013-14'!D459</f>
        <v>0</v>
      </c>
      <c r="G461" s="263"/>
    </row>
    <row r="462" spans="2:7">
      <c r="B462" s="72"/>
      <c r="C462" s="724"/>
      <c r="D462" s="262">
        <f>+SUM(D458:D461)</f>
        <v>26698968989</v>
      </c>
      <c r="E462" s="263"/>
      <c r="F462" s="262">
        <f>+SUM(F458:F461)</f>
        <v>0</v>
      </c>
      <c r="G462" s="263"/>
    </row>
    <row r="463" spans="2:7" ht="11.25" thickBot="1">
      <c r="B463" s="72" t="s">
        <v>135</v>
      </c>
      <c r="C463" s="724"/>
      <c r="D463" s="532">
        <f>'BS &amp; Notes 2014-15'!D463</f>
        <v>0</v>
      </c>
      <c r="E463" s="263">
        <f>+D462-D463</f>
        <v>26698968989</v>
      </c>
      <c r="F463" s="264">
        <f>'BS &amp; Notes 2013-14'!D461</f>
        <v>0</v>
      </c>
      <c r="G463" s="263">
        <f>+F462-F463</f>
        <v>0</v>
      </c>
    </row>
    <row r="464" spans="2:7" ht="11.25" thickBot="1">
      <c r="B464" s="72"/>
      <c r="C464" s="724"/>
      <c r="D464" s="262"/>
      <c r="E464" s="265"/>
      <c r="F464" s="262"/>
      <c r="G464" s="265"/>
    </row>
    <row r="465" spans="2:8" ht="11.25" thickBot="1">
      <c r="B465" s="515" t="s">
        <v>806</v>
      </c>
      <c r="C465" s="724"/>
      <c r="D465" s="262"/>
      <c r="E465" s="580">
        <f>SUM(E449:E464)</f>
        <v>30350748334</v>
      </c>
      <c r="F465" s="257"/>
      <c r="G465" s="580">
        <f>SUM(G449:G464)</f>
        <v>0</v>
      </c>
    </row>
    <row r="466" spans="2:8" ht="12" thickTop="1" thickBot="1">
      <c r="B466" s="544"/>
      <c r="C466" s="718"/>
      <c r="D466" s="264"/>
      <c r="E466" s="265"/>
      <c r="F466" s="517"/>
      <c r="G466" s="265"/>
    </row>
    <row r="467" spans="2:8">
      <c r="B467" s="724"/>
      <c r="F467" s="451"/>
      <c r="G467" s="451"/>
      <c r="H467" s="451"/>
    </row>
    <row r="468" spans="2:8" ht="29.25" customHeight="1">
      <c r="B468" s="1437" t="s">
        <v>929</v>
      </c>
      <c r="C468" s="1437"/>
      <c r="D468" s="1437"/>
      <c r="E468" s="1437"/>
      <c r="F468" s="1437"/>
      <c r="G468" s="1437"/>
    </row>
    <row r="469" spans="2:8">
      <c r="B469" s="724"/>
    </row>
    <row r="470" spans="2:8" ht="24" customHeight="1">
      <c r="B470" s="70" t="s">
        <v>1137</v>
      </c>
    </row>
    <row r="471" spans="2:8" ht="12" thickBot="1">
      <c r="F471" s="1442" t="s">
        <v>1180</v>
      </c>
      <c r="G471" s="1442"/>
    </row>
    <row r="472" spans="2:8" ht="11.25" thickBot="1">
      <c r="B472" s="120"/>
      <c r="C472" s="19"/>
      <c r="D472" s="1431" t="s">
        <v>1225</v>
      </c>
      <c r="E472" s="1432"/>
      <c r="F472" s="1433" t="s">
        <v>1204</v>
      </c>
      <c r="G472" s="1432"/>
    </row>
    <row r="473" spans="2:8">
      <c r="B473" s="123" t="s">
        <v>1138</v>
      </c>
      <c r="C473" s="724"/>
      <c r="D473" s="546"/>
      <c r="E473" s="543"/>
      <c r="F473" s="546"/>
      <c r="G473" s="543"/>
    </row>
    <row r="474" spans="2:8">
      <c r="B474" s="220" t="s">
        <v>199</v>
      </c>
      <c r="C474" s="724"/>
      <c r="D474" s="17"/>
      <c r="E474" s="542">
        <f>'BS &amp; Notes 2014-15'!E474</f>
        <v>988912</v>
      </c>
      <c r="F474" s="17"/>
      <c r="G474" s="794">
        <f>'BS &amp; Notes 2013-14'!E472</f>
        <v>0</v>
      </c>
    </row>
    <row r="475" spans="2:8">
      <c r="B475" s="220" t="s">
        <v>200</v>
      </c>
      <c r="C475" s="724"/>
      <c r="D475" s="17"/>
      <c r="E475" s="542">
        <f>'BS &amp; Notes 2014-15'!E475</f>
        <v>15250</v>
      </c>
      <c r="F475" s="17"/>
      <c r="G475" s="794">
        <f>'BS &amp; Notes 2013-14'!E473</f>
        <v>0</v>
      </c>
    </row>
    <row r="476" spans="2:8">
      <c r="B476" s="220" t="s">
        <v>201</v>
      </c>
      <c r="C476" s="724"/>
      <c r="D476" s="17"/>
      <c r="E476" s="542"/>
      <c r="F476" s="17"/>
      <c r="G476" s="542"/>
    </row>
    <row r="477" spans="2:8">
      <c r="B477" s="217" t="s">
        <v>1139</v>
      </c>
      <c r="C477" s="741"/>
      <c r="D477" s="17">
        <f>'BS &amp; Notes 2014-15'!D477</f>
        <v>44345252</v>
      </c>
      <c r="E477" s="542"/>
      <c r="F477" s="269">
        <f>'BS &amp; Notes 2013-14'!D475</f>
        <v>0</v>
      </c>
      <c r="G477" s="542"/>
    </row>
    <row r="478" spans="2:8">
      <c r="B478" s="217" t="s">
        <v>1140</v>
      </c>
      <c r="C478" s="741"/>
      <c r="D478" s="17">
        <f>'BS &amp; Notes 2014-15'!D478</f>
        <v>1005190636</v>
      </c>
      <c r="E478" s="542"/>
      <c r="F478" s="269">
        <f>'BS &amp; Notes 2013-14'!D476</f>
        <v>0</v>
      </c>
      <c r="G478" s="542"/>
    </row>
    <row r="479" spans="2:8" ht="21.75" thickBot="1">
      <c r="B479" s="113" t="s">
        <v>1141</v>
      </c>
      <c r="C479" s="219"/>
      <c r="D479" s="544">
        <f>'BS &amp; Notes 2014-15'!D479</f>
        <v>221802163</v>
      </c>
      <c r="E479" s="542">
        <f>+SUM(D477:D479)</f>
        <v>1271338051</v>
      </c>
      <c r="F479" s="264">
        <f>'BS &amp; Notes 2013-14'!D477</f>
        <v>0</v>
      </c>
      <c r="G479" s="542">
        <f>+SUM(F477:F479)</f>
        <v>0</v>
      </c>
    </row>
    <row r="480" spans="2:8">
      <c r="B480" s="123"/>
      <c r="C480" s="724"/>
      <c r="D480" s="17"/>
      <c r="E480" s="542"/>
      <c r="F480" s="17"/>
      <c r="G480" s="542"/>
    </row>
    <row r="481" spans="2:7">
      <c r="B481" s="123" t="s">
        <v>1142</v>
      </c>
      <c r="C481" s="724"/>
      <c r="D481" s="17"/>
      <c r="E481" s="542"/>
      <c r="F481" s="17"/>
      <c r="G481" s="542"/>
    </row>
    <row r="482" spans="2:7">
      <c r="B482" s="123"/>
      <c r="C482" s="724"/>
      <c r="D482" s="17"/>
      <c r="E482" s="542"/>
      <c r="F482" s="17"/>
      <c r="G482" s="542"/>
    </row>
    <row r="483" spans="2:7">
      <c r="B483" s="220" t="s">
        <v>711</v>
      </c>
      <c r="C483" s="742"/>
      <c r="D483" s="17">
        <f>'BS &amp; Notes 2014-15'!D483</f>
        <v>0</v>
      </c>
      <c r="E483" s="542"/>
      <c r="F483" s="269">
        <f>'BS &amp; Notes 2013-14'!D481</f>
        <v>0</v>
      </c>
      <c r="G483" s="542"/>
    </row>
    <row r="484" spans="2:7" ht="22.5" customHeight="1">
      <c r="B484" s="1446" t="s">
        <v>205</v>
      </c>
      <c r="C484" s="1545"/>
      <c r="D484" s="17">
        <f>'BS &amp; Notes 2014-15'!D484</f>
        <v>365260984</v>
      </c>
      <c r="E484" s="542"/>
      <c r="F484" s="269">
        <f>'BS &amp; Notes 2013-14'!D482</f>
        <v>0</v>
      </c>
      <c r="G484" s="542"/>
    </row>
    <row r="485" spans="2:7" ht="11.25" thickBot="1">
      <c r="B485" s="220" t="s">
        <v>206</v>
      </c>
      <c r="C485" s="742"/>
      <c r="D485" s="544">
        <f>'BS &amp; Notes 2014-15'!D485</f>
        <v>125000</v>
      </c>
      <c r="E485" s="542">
        <f>+SUM(D483:D485)</f>
        <v>365385984</v>
      </c>
      <c r="F485" s="264">
        <f>'BS &amp; Notes 2013-14'!D483</f>
        <v>0</v>
      </c>
      <c r="G485" s="542">
        <f>+SUM(F483:F485)</f>
        <v>0</v>
      </c>
    </row>
    <row r="486" spans="2:7" ht="11.25" thickBot="1">
      <c r="B486" s="17"/>
      <c r="C486" s="724"/>
      <c r="D486" s="17"/>
      <c r="E486" s="12"/>
      <c r="F486" s="17"/>
      <c r="G486" s="12"/>
    </row>
    <row r="487" spans="2:7" ht="11.25" thickBot="1">
      <c r="B487" s="743" t="s">
        <v>806</v>
      </c>
      <c r="C487" s="724"/>
      <c r="D487" s="17"/>
      <c r="E487" s="581">
        <f>SUM(E474:E486)</f>
        <v>1637728197</v>
      </c>
      <c r="F487" s="723"/>
      <c r="G487" s="581">
        <f>SUM(G474:G486)</f>
        <v>0</v>
      </c>
    </row>
    <row r="488" spans="2:7" ht="12" thickTop="1" thickBot="1">
      <c r="B488" s="544"/>
      <c r="C488" s="718"/>
      <c r="D488" s="544"/>
      <c r="E488" s="12"/>
      <c r="F488" s="544"/>
      <c r="G488" s="12"/>
    </row>
    <row r="490" spans="2:7" ht="22.5" customHeight="1">
      <c r="B490" s="1437" t="s">
        <v>1143</v>
      </c>
      <c r="C490" s="1437"/>
      <c r="D490" s="1437"/>
      <c r="E490" s="1437"/>
      <c r="F490" s="1437"/>
      <c r="G490" s="1437"/>
    </row>
    <row r="492" spans="2:7" ht="21">
      <c r="B492" s="70" t="s">
        <v>1144</v>
      </c>
    </row>
    <row r="493" spans="2:7" ht="12" thickBot="1">
      <c r="F493" s="1442" t="s">
        <v>1180</v>
      </c>
      <c r="G493" s="1442"/>
    </row>
    <row r="494" spans="2:7" ht="11.25" thickBot="1">
      <c r="B494" s="120"/>
      <c r="C494" s="19"/>
      <c r="D494" s="1431" t="s">
        <v>1225</v>
      </c>
      <c r="E494" s="1432"/>
      <c r="F494" s="1433" t="s">
        <v>1204</v>
      </c>
      <c r="G494" s="1432"/>
    </row>
    <row r="495" spans="2:7" ht="21">
      <c r="B495" s="124" t="s">
        <v>1145</v>
      </c>
      <c r="C495" s="708"/>
      <c r="D495" s="17"/>
      <c r="E495" s="530"/>
      <c r="F495" s="17"/>
      <c r="G495" s="530"/>
    </row>
    <row r="496" spans="2:7">
      <c r="B496" s="129" t="s">
        <v>1146</v>
      </c>
      <c r="C496" s="708"/>
      <c r="D496" s="555">
        <f>'BS &amp; Notes 2014-15'!D496</f>
        <v>0</v>
      </c>
      <c r="E496" s="542"/>
      <c r="F496" s="529">
        <f>'BS &amp; Notes 2013-14'!D494</f>
        <v>0</v>
      </c>
      <c r="G496" s="542"/>
    </row>
    <row r="497" spans="2:7">
      <c r="B497" s="129" t="s">
        <v>1147</v>
      </c>
      <c r="C497" s="708"/>
      <c r="D497" s="555">
        <f>'BS &amp; Notes 2014-15'!D497</f>
        <v>0</v>
      </c>
      <c r="E497" s="542"/>
      <c r="F497" s="529">
        <f>'BS &amp; Notes 2013-14'!D495</f>
        <v>0</v>
      </c>
      <c r="G497" s="542"/>
    </row>
    <row r="498" spans="2:7" ht="11.25" thickBot="1">
      <c r="B498" s="129" t="s">
        <v>1148</v>
      </c>
      <c r="C498" s="708"/>
      <c r="D498" s="532">
        <f>'BS &amp; Notes 2014-15'!D498</f>
        <v>0</v>
      </c>
      <c r="E498" s="542"/>
      <c r="F498" s="532">
        <f>'BS &amp; Notes 2013-14'!D496</f>
        <v>0</v>
      </c>
      <c r="G498" s="542"/>
    </row>
    <row r="499" spans="2:7">
      <c r="B499" s="112"/>
      <c r="C499" s="708"/>
      <c r="D499" s="555">
        <f>+SUM(D496:D498)</f>
        <v>0</v>
      </c>
      <c r="E499" s="542"/>
      <c r="F499" s="555">
        <f>+SUM(F496:F498)</f>
        <v>0</v>
      </c>
      <c r="G499" s="542"/>
    </row>
    <row r="500" spans="2:7" ht="21.75" thickBot="1">
      <c r="B500" s="119" t="s">
        <v>211</v>
      </c>
      <c r="C500" s="221"/>
      <c r="D500" s="532">
        <f>'BS &amp; Notes 2014-15'!D500</f>
        <v>0</v>
      </c>
      <c r="E500" s="530">
        <f>+D499-D500</f>
        <v>0</v>
      </c>
      <c r="F500" s="532">
        <f>'BS &amp; Notes 2013-14'!D498</f>
        <v>0</v>
      </c>
      <c r="G500" s="530">
        <f>+F499-F500</f>
        <v>0</v>
      </c>
    </row>
    <row r="501" spans="2:7">
      <c r="B501" s="119"/>
      <c r="C501" s="221"/>
      <c r="D501" s="555"/>
      <c r="E501" s="530"/>
      <c r="F501" s="555"/>
      <c r="G501" s="530"/>
    </row>
    <row r="502" spans="2:7">
      <c r="B502" s="124" t="s">
        <v>1149</v>
      </c>
      <c r="C502" s="708"/>
      <c r="D502" s="17"/>
      <c r="E502" s="542"/>
      <c r="F502" s="17"/>
      <c r="G502" s="542"/>
    </row>
    <row r="503" spans="2:7">
      <c r="B503" s="119" t="s">
        <v>1150</v>
      </c>
      <c r="C503" s="221"/>
      <c r="D503" s="17">
        <f>'BS &amp; Notes 2014-15'!D502</f>
        <v>0</v>
      </c>
      <c r="E503" s="542"/>
      <c r="F503" s="795">
        <f>'BS &amp; Notes 2013-14'!D500</f>
        <v>0</v>
      </c>
      <c r="G503" s="542"/>
    </row>
    <row r="504" spans="2:7" ht="11.25" thickBot="1">
      <c r="B504" s="119" t="s">
        <v>243</v>
      </c>
      <c r="C504" s="221"/>
      <c r="D504" s="544">
        <f>'BS &amp; Notes 2014-15'!D503</f>
        <v>0</v>
      </c>
      <c r="E504" s="542"/>
      <c r="F504" s="544">
        <f>'BS &amp; Notes 2013-14'!D501</f>
        <v>0</v>
      </c>
      <c r="G504" s="542"/>
    </row>
    <row r="505" spans="2:7">
      <c r="B505" s="119" t="s">
        <v>244</v>
      </c>
      <c r="C505" s="221"/>
      <c r="D505" s="17"/>
      <c r="E505" s="542">
        <f>+D503-D504</f>
        <v>0</v>
      </c>
      <c r="F505" s="17"/>
      <c r="G505" s="542">
        <f>+F503-F504</f>
        <v>0</v>
      </c>
    </row>
    <row r="506" spans="2:7" ht="21">
      <c r="B506" s="119" t="s">
        <v>1151</v>
      </c>
      <c r="C506" s="221"/>
      <c r="D506" s="17"/>
      <c r="E506" s="542"/>
      <c r="F506" s="17"/>
      <c r="G506" s="542"/>
    </row>
    <row r="507" spans="2:7">
      <c r="B507" s="119" t="s">
        <v>244</v>
      </c>
      <c r="C507" s="221"/>
      <c r="D507" s="17">
        <f>'BS &amp; Notes 2014-15'!D506</f>
        <v>79363932</v>
      </c>
      <c r="E507" s="542"/>
      <c r="F507" s="17">
        <f>'BS &amp; Notes 2013-14'!D504</f>
        <v>0</v>
      </c>
      <c r="G507" s="542"/>
    </row>
    <row r="508" spans="2:7">
      <c r="B508" s="161" t="s">
        <v>245</v>
      </c>
      <c r="C508" s="221"/>
      <c r="D508" s="17">
        <f>'BS &amp; Notes 2014-15'!D507</f>
        <v>12184301094</v>
      </c>
      <c r="E508" s="542"/>
      <c r="F508" s="17">
        <f>'BS &amp; Notes 2013-14'!D505</f>
        <v>0</v>
      </c>
      <c r="G508" s="542"/>
    </row>
    <row r="509" spans="2:7" ht="11.25" thickBot="1">
      <c r="B509" s="161" t="s">
        <v>246</v>
      </c>
      <c r="C509" s="221"/>
      <c r="D509" s="544">
        <f>'BS &amp; Notes 2014-15'!D508</f>
        <v>50032039</v>
      </c>
      <c r="E509" s="542"/>
      <c r="F509" s="544">
        <f>'BS &amp; Notes 2013-14'!D506</f>
        <v>0</v>
      </c>
      <c r="G509" s="542"/>
    </row>
    <row r="510" spans="2:7">
      <c r="B510" s="212"/>
      <c r="C510" s="221"/>
      <c r="D510" s="17">
        <f>+SUM(D507:D509)</f>
        <v>12313697065</v>
      </c>
      <c r="E510" s="542"/>
      <c r="F510" s="17">
        <f>+SUM(F507:F509)</f>
        <v>0</v>
      </c>
      <c r="G510" s="542"/>
    </row>
    <row r="511" spans="2:7" ht="21.75" thickBot="1">
      <c r="B511" s="119" t="s">
        <v>210</v>
      </c>
      <c r="C511" s="221"/>
      <c r="D511" s="544">
        <f>'BS &amp; Notes 2014-15'!D510</f>
        <v>50032039</v>
      </c>
      <c r="E511" s="542">
        <f>+D510-D511</f>
        <v>12263665026</v>
      </c>
      <c r="F511" s="544">
        <f>'BS &amp; Notes 2013-14'!D508</f>
        <v>0</v>
      </c>
      <c r="G511" s="542">
        <f>+F510-F511</f>
        <v>0</v>
      </c>
    </row>
    <row r="512" spans="2:7">
      <c r="B512" s="119"/>
      <c r="C512" s="221"/>
      <c r="D512" s="17"/>
      <c r="E512" s="542"/>
      <c r="F512" s="17"/>
      <c r="G512" s="542"/>
    </row>
    <row r="513" spans="2:8">
      <c r="B513" s="119" t="s">
        <v>1152</v>
      </c>
      <c r="C513" s="221"/>
      <c r="D513" s="17"/>
      <c r="E513" s="542"/>
      <c r="F513" s="17"/>
      <c r="G513" s="542"/>
    </row>
    <row r="514" spans="2:8">
      <c r="B514" s="161" t="s">
        <v>213</v>
      </c>
      <c r="C514" s="221"/>
      <c r="D514" s="17">
        <f>'BS &amp; Notes 2014-15'!D513</f>
        <v>4720</v>
      </c>
      <c r="E514" s="542"/>
      <c r="F514" s="17">
        <f>'BS &amp; Notes 2013-14'!D511</f>
        <v>0</v>
      </c>
      <c r="G514" s="542"/>
    </row>
    <row r="515" spans="2:8">
      <c r="B515" s="161" t="s">
        <v>212</v>
      </c>
      <c r="C515" s="221"/>
      <c r="D515" s="17">
        <f>'BS &amp; Notes 2014-15'!D514</f>
        <v>41791735</v>
      </c>
      <c r="E515" s="542"/>
      <c r="F515" s="17">
        <f>'BS &amp; Notes 2013-14'!D512</f>
        <v>0</v>
      </c>
      <c r="G515" s="542"/>
    </row>
    <row r="516" spans="2:8" ht="11.25" thickBot="1">
      <c r="B516" s="161" t="s">
        <v>214</v>
      </c>
      <c r="C516" s="221"/>
      <c r="D516" s="544">
        <f>'BS &amp; Notes 2014-15'!D515</f>
        <v>4770207</v>
      </c>
      <c r="E516" s="542"/>
      <c r="F516" s="544">
        <f>'BS &amp; Notes 2013-14'!D513</f>
        <v>0</v>
      </c>
      <c r="G516" s="542"/>
    </row>
    <row r="517" spans="2:8">
      <c r="B517" s="212"/>
      <c r="C517" s="221"/>
      <c r="D517" s="17">
        <f>SUM(D514:D516)</f>
        <v>46566662</v>
      </c>
      <c r="E517" s="542"/>
      <c r="F517" s="17">
        <f>+SUM(F514:F516)</f>
        <v>0</v>
      </c>
      <c r="G517" s="542"/>
    </row>
    <row r="518" spans="2:8" ht="21.75" thickBot="1">
      <c r="B518" s="119" t="s">
        <v>210</v>
      </c>
      <c r="C518" s="221"/>
      <c r="D518" s="544">
        <f>'BS &amp; Notes 2014-15'!D517</f>
        <v>4770207</v>
      </c>
      <c r="E518" s="542">
        <f>+D517-D518</f>
        <v>41796455</v>
      </c>
      <c r="F518" s="544">
        <f>'BS &amp; Notes 2013-14'!D515</f>
        <v>0</v>
      </c>
      <c r="G518" s="542">
        <f>+F517-F518</f>
        <v>0</v>
      </c>
    </row>
    <row r="519" spans="2:8" ht="21.75">
      <c r="B519" s="169" t="s">
        <v>1223</v>
      </c>
      <c r="C519" s="221"/>
      <c r="D519" s="17"/>
      <c r="E519" s="542"/>
      <c r="F519" s="17"/>
      <c r="G519" s="542"/>
    </row>
    <row r="520" spans="2:8">
      <c r="B520" s="161" t="s">
        <v>212</v>
      </c>
      <c r="C520" s="221"/>
      <c r="D520" s="17"/>
      <c r="E520" s="542">
        <f>'BS &amp; Notes 2014-15'!E519</f>
        <v>573440612</v>
      </c>
      <c r="F520" s="17"/>
      <c r="G520" s="542">
        <f>'BS &amp; Notes 2013-14'!E517</f>
        <v>0</v>
      </c>
    </row>
    <row r="521" spans="2:8" ht="11.25" thickBot="1">
      <c r="B521" s="113"/>
      <c r="C521" s="708"/>
      <c r="D521" s="17"/>
      <c r="E521" s="12"/>
      <c r="F521" s="17"/>
      <c r="G521" s="12"/>
    </row>
    <row r="522" spans="2:8" ht="11.25" thickBot="1">
      <c r="B522" s="509" t="s">
        <v>806</v>
      </c>
      <c r="C522" s="143"/>
      <c r="D522" s="544"/>
      <c r="E522" s="4">
        <f>SUM(E500:E521)</f>
        <v>12878902093</v>
      </c>
      <c r="F522" s="716"/>
      <c r="G522" s="4">
        <f>SUM(G495:G521)</f>
        <v>0</v>
      </c>
    </row>
    <row r="523" spans="2:8">
      <c r="G523" s="451"/>
      <c r="H523" s="451"/>
    </row>
    <row r="524" spans="2:8" ht="35.25" customHeight="1">
      <c r="B524" s="1449" t="s">
        <v>931</v>
      </c>
      <c r="C524" s="1449"/>
      <c r="D524" s="1449"/>
      <c r="E524" s="1449"/>
      <c r="F524" s="1449"/>
      <c r="G524" s="1449"/>
    </row>
    <row r="526" spans="2:8">
      <c r="B526" s="1451" t="s">
        <v>1153</v>
      </c>
      <c r="C526" s="1451"/>
      <c r="D526" s="1451"/>
      <c r="E526" s="1451"/>
      <c r="F526" s="1451"/>
      <c r="G526" s="1451"/>
    </row>
    <row r="528" spans="2:8" ht="12" thickBot="1">
      <c r="F528" s="1442" t="s">
        <v>1180</v>
      </c>
      <c r="G528" s="1442"/>
    </row>
    <row r="529" spans="2:8" ht="11.25" thickBot="1">
      <c r="B529" s="120"/>
      <c r="C529" s="19"/>
      <c r="D529" s="1431" t="s">
        <v>1225</v>
      </c>
      <c r="E529" s="1432"/>
      <c r="F529" s="1433" t="s">
        <v>1204</v>
      </c>
      <c r="G529" s="1432"/>
    </row>
    <row r="530" spans="2:8">
      <c r="B530" s="88" t="s">
        <v>250</v>
      </c>
      <c r="C530" s="717"/>
      <c r="D530" s="546">
        <f>'BS &amp; Notes 2014-15'!D529</f>
        <v>33919314</v>
      </c>
      <c r="E530" s="543"/>
      <c r="F530" s="17">
        <f>'BS &amp; Notes 2013-14'!D527</f>
        <v>0</v>
      </c>
      <c r="G530" s="543"/>
    </row>
    <row r="531" spans="2:8" ht="21.75" thickBot="1">
      <c r="B531" s="707" t="s">
        <v>930</v>
      </c>
      <c r="C531" s="724"/>
      <c r="D531" s="544">
        <f>'BS &amp; Notes 2014-15'!D530</f>
        <v>3150892646</v>
      </c>
      <c r="E531" s="542"/>
      <c r="F531" s="544">
        <f>'BS &amp; Notes 2013-14'!D528</f>
        <v>0</v>
      </c>
      <c r="G531" s="542"/>
    </row>
    <row r="532" spans="2:8">
      <c r="B532" s="72"/>
      <c r="C532" s="724"/>
      <c r="D532" s="17">
        <f>+D530+D531</f>
        <v>3184811960</v>
      </c>
      <c r="E532" s="542"/>
      <c r="F532" s="17">
        <f>+F530+F531</f>
        <v>0</v>
      </c>
      <c r="G532" s="542"/>
    </row>
    <row r="533" spans="2:8" ht="21.75" thickBot="1">
      <c r="B533" s="72" t="s">
        <v>251</v>
      </c>
      <c r="C533" s="724"/>
      <c r="D533" s="532">
        <f>'BS &amp; Notes 2014-15'!D532</f>
        <v>0</v>
      </c>
      <c r="E533" s="542">
        <f>+D532-D533</f>
        <v>3184811960</v>
      </c>
      <c r="F533" s="544">
        <f>'BS &amp; Notes 2013-14'!D530</f>
        <v>0</v>
      </c>
      <c r="G533" s="542">
        <f>+F532-F533</f>
        <v>0</v>
      </c>
    </row>
    <row r="534" spans="2:8" ht="11.25" thickBot="1">
      <c r="B534" s="72"/>
      <c r="C534" s="724"/>
      <c r="D534" s="17"/>
      <c r="E534" s="12"/>
      <c r="F534" s="17"/>
      <c r="G534" s="12"/>
    </row>
    <row r="535" spans="2:8" ht="11.25" thickBot="1">
      <c r="B535" s="509" t="s">
        <v>806</v>
      </c>
      <c r="C535" s="718"/>
      <c r="D535" s="544"/>
      <c r="E535" s="4">
        <f>SUM(E533:E534)</f>
        <v>3184811960</v>
      </c>
      <c r="F535" s="716"/>
      <c r="G535" s="4">
        <f>SUM(G533:G534)</f>
        <v>0</v>
      </c>
    </row>
    <row r="537" spans="2:8" ht="14.25">
      <c r="B537" s="102"/>
    </row>
    <row r="539" spans="2:8">
      <c r="B539" s="70" t="s">
        <v>1154</v>
      </c>
    </row>
    <row r="540" spans="2:8" ht="12" thickBot="1">
      <c r="F540" s="1442" t="s">
        <v>1180</v>
      </c>
      <c r="G540" s="1442"/>
    </row>
    <row r="541" spans="2:8" ht="11.25" thickBot="1">
      <c r="B541" s="120"/>
      <c r="C541" s="19"/>
      <c r="D541" s="1431" t="s">
        <v>1231</v>
      </c>
      <c r="E541" s="1432"/>
      <c r="F541" s="1433" t="s">
        <v>1206</v>
      </c>
      <c r="G541" s="1432"/>
    </row>
    <row r="542" spans="2:8">
      <c r="B542" s="88" t="s">
        <v>1155</v>
      </c>
      <c r="C542" s="717"/>
      <c r="D542" s="546"/>
      <c r="E542" s="548">
        <f>'BS &amp; Notes 2014-15'!E572</f>
        <v>182374402388</v>
      </c>
      <c r="F542" s="549"/>
      <c r="G542" s="550">
        <f>'BS &amp; Notes 2013-14'!E570</f>
        <v>0</v>
      </c>
      <c r="H542" s="744"/>
    </row>
    <row r="543" spans="2:8">
      <c r="B543" s="72" t="s">
        <v>1156</v>
      </c>
      <c r="C543" s="724"/>
      <c r="D543" s="17"/>
      <c r="E543" s="724">
        <f>'BS &amp; Notes 2014-15'!E573</f>
        <v>46196489</v>
      </c>
      <c r="F543" s="551"/>
      <c r="G543" s="552">
        <f>'BS &amp; Notes 2013-14'!E571</f>
        <v>0</v>
      </c>
    </row>
    <row r="544" spans="2:8">
      <c r="B544" s="96" t="s">
        <v>1157</v>
      </c>
      <c r="C544" s="724"/>
      <c r="D544" s="17"/>
      <c r="E544" s="724"/>
      <c r="F544" s="551"/>
      <c r="G544" s="552"/>
    </row>
    <row r="545" spans="2:8">
      <c r="B545" s="72" t="s">
        <v>404</v>
      </c>
      <c r="C545" s="724"/>
      <c r="D545" s="17">
        <f>'BS &amp; Notes 2014-15'!D575</f>
        <v>1324827</v>
      </c>
      <c r="E545" s="724"/>
      <c r="F545" s="17">
        <f>'BS &amp; Notes 2013-14'!D573</f>
        <v>0</v>
      </c>
      <c r="G545" s="552"/>
    </row>
    <row r="546" spans="2:8">
      <c r="B546" s="72" t="s">
        <v>405</v>
      </c>
      <c r="C546" s="724"/>
      <c r="D546" s="17">
        <f>'BS &amp; Notes 2014-15'!D576</f>
        <v>231214776</v>
      </c>
      <c r="E546" s="724"/>
      <c r="F546" s="17">
        <f>'BS &amp; Notes 2013-14'!D574</f>
        <v>0</v>
      </c>
      <c r="G546" s="552"/>
    </row>
    <row r="547" spans="2:8">
      <c r="B547" s="72" t="s">
        <v>406</v>
      </c>
      <c r="C547" s="724"/>
      <c r="D547" s="17">
        <f>'BS &amp; Notes 2014-15'!D577</f>
        <v>0</v>
      </c>
      <c r="E547" s="724"/>
      <c r="F547" s="17">
        <f>'BS &amp; Notes 2013-14'!D575</f>
        <v>0</v>
      </c>
      <c r="G547" s="552"/>
    </row>
    <row r="548" spans="2:8" ht="11.25" thickBot="1">
      <c r="B548" s="72" t="s">
        <v>407</v>
      </c>
      <c r="C548" s="724"/>
      <c r="D548" s="553">
        <f>'BS &amp; Notes 2014-15'!D578</f>
        <v>195245672</v>
      </c>
      <c r="E548" s="557">
        <f>SUM(D545:D548)</f>
        <v>427785275</v>
      </c>
      <c r="F548" s="544">
        <f>'BS &amp; Notes 2013-14'!D576</f>
        <v>0</v>
      </c>
      <c r="G548" s="557">
        <f>SUM(F545:F548)</f>
        <v>0</v>
      </c>
    </row>
    <row r="549" spans="2:8">
      <c r="B549" s="96"/>
      <c r="C549" s="724"/>
      <c r="D549" s="17"/>
      <c r="E549" s="554">
        <f>SUM(E542:E548)</f>
        <v>182848384152</v>
      </c>
      <c r="F549" s="551"/>
      <c r="G549" s="552">
        <f>SUM(G542:G548)</f>
        <v>0</v>
      </c>
    </row>
    <row r="550" spans="2:8">
      <c r="B550" s="72" t="s">
        <v>584</v>
      </c>
      <c r="C550" s="724"/>
      <c r="D550" s="17"/>
      <c r="E550" s="724"/>
      <c r="F550" s="551"/>
      <c r="G550" s="542"/>
    </row>
    <row r="551" spans="2:8" ht="11.25" thickBot="1">
      <c r="B551" s="72" t="s">
        <v>1158</v>
      </c>
      <c r="C551" s="724"/>
      <c r="D551" s="544">
        <f>'BS &amp; Notes 2014-15'!D581</f>
        <v>5557067</v>
      </c>
      <c r="E551" s="724">
        <f>D551</f>
        <v>5557067</v>
      </c>
      <c r="F551" s="544">
        <f>'BS &amp; Notes 2013-14'!D579</f>
        <v>0</v>
      </c>
      <c r="G551" s="552">
        <f>F551</f>
        <v>0</v>
      </c>
    </row>
    <row r="552" spans="2:8" ht="11.25" thickBot="1">
      <c r="B552" s="72"/>
      <c r="C552" s="724"/>
      <c r="D552" s="17"/>
      <c r="E552" s="12"/>
      <c r="F552" s="551"/>
      <c r="G552" s="12"/>
    </row>
    <row r="553" spans="2:8" ht="11.25" thickBot="1">
      <c r="B553" s="515" t="s">
        <v>806</v>
      </c>
      <c r="C553" s="724"/>
      <c r="D553" s="17"/>
      <c r="E553" s="582">
        <f>E549-E551</f>
        <v>182842827085</v>
      </c>
      <c r="F553" s="583"/>
      <c r="G553" s="584">
        <f>G549-G551</f>
        <v>0</v>
      </c>
    </row>
    <row r="554" spans="2:8" ht="12" thickTop="1" thickBot="1">
      <c r="B554" s="544"/>
      <c r="C554" s="718"/>
      <c r="D554" s="544"/>
      <c r="E554" s="718"/>
      <c r="F554" s="553"/>
      <c r="G554" s="557"/>
      <c r="H554" s="744"/>
    </row>
    <row r="557" spans="2:8">
      <c r="B557" s="70" t="s">
        <v>1159</v>
      </c>
    </row>
    <row r="558" spans="2:8" ht="12" thickBot="1">
      <c r="F558" s="1442" t="s">
        <v>1180</v>
      </c>
      <c r="G558" s="1442"/>
    </row>
    <row r="559" spans="2:8" ht="11.25" thickBot="1">
      <c r="B559" s="120"/>
      <c r="C559" s="19"/>
      <c r="D559" s="1431" t="s">
        <v>1231</v>
      </c>
      <c r="E559" s="1432"/>
      <c r="F559" s="1433" t="s">
        <v>1206</v>
      </c>
      <c r="G559" s="1432"/>
    </row>
    <row r="560" spans="2:8">
      <c r="B560" s="88" t="s">
        <v>1160</v>
      </c>
      <c r="C560" s="717"/>
      <c r="D560" s="546"/>
      <c r="E560" s="543"/>
      <c r="F560" s="717"/>
      <c r="G560" s="543"/>
    </row>
    <row r="561" spans="2:8">
      <c r="B561" s="119" t="s">
        <v>591</v>
      </c>
      <c r="C561" s="724"/>
      <c r="D561" s="17">
        <f>'BS &amp; Notes 2014-15'!D593</f>
        <v>311461973</v>
      </c>
      <c r="E561" s="542"/>
      <c r="F561" s="17">
        <f>'BS &amp; Notes 2013-14'!D591</f>
        <v>0</v>
      </c>
      <c r="G561" s="542"/>
    </row>
    <row r="562" spans="2:8" ht="21">
      <c r="B562" s="119" t="s">
        <v>592</v>
      </c>
      <c r="C562" s="724"/>
      <c r="D562" s="17">
        <f>'BS &amp; Notes 2014-15'!D594</f>
        <v>40146945</v>
      </c>
      <c r="E562" s="542"/>
      <c r="F562" s="17">
        <f>'BS &amp; Notes 2013-14'!D592</f>
        <v>0</v>
      </c>
      <c r="G562" s="542"/>
    </row>
    <row r="563" spans="2:8" ht="11.25" thickBot="1">
      <c r="B563" s="119" t="s">
        <v>593</v>
      </c>
      <c r="C563" s="724"/>
      <c r="D563" s="544">
        <f>'BS &amp; Notes 2014-15'!D595</f>
        <v>646250155</v>
      </c>
      <c r="E563" s="542">
        <f>+SUM(D561:D563)</f>
        <v>997859073</v>
      </c>
      <c r="F563" s="544">
        <f>'BS &amp; Notes 2013-14'!D593</f>
        <v>0</v>
      </c>
      <c r="G563" s="542">
        <f>+SUM(F561:F563)</f>
        <v>0</v>
      </c>
    </row>
    <row r="564" spans="2:8">
      <c r="B564" s="72" t="s">
        <v>1188</v>
      </c>
      <c r="C564" s="724"/>
      <c r="D564" s="17"/>
      <c r="E564" s="542"/>
      <c r="F564" s="724"/>
      <c r="G564" s="542"/>
    </row>
    <row r="565" spans="2:8">
      <c r="B565" s="327" t="s">
        <v>1275</v>
      </c>
      <c r="C565" s="749"/>
      <c r="D565" s="17">
        <f>'BS &amp; Notes 2014-15'!D597</f>
        <v>52338000</v>
      </c>
      <c r="E565" s="542"/>
      <c r="F565" s="17">
        <f>'BS &amp; Notes 2013-14'!D595</f>
        <v>0</v>
      </c>
      <c r="G565" s="542"/>
    </row>
    <row r="566" spans="2:8" ht="11.25" thickBot="1">
      <c r="B566" s="327" t="s">
        <v>1187</v>
      </c>
      <c r="C566" s="749"/>
      <c r="D566" s="544">
        <f>'BS &amp; Notes 2014-15'!D598</f>
        <v>19398155</v>
      </c>
      <c r="E566" s="542">
        <f>+D566+D565</f>
        <v>71736155</v>
      </c>
      <c r="F566" s="544">
        <f>'BS &amp; Notes 2013-14'!D596</f>
        <v>0</v>
      </c>
      <c r="G566" s="542"/>
    </row>
    <row r="567" spans="2:8">
      <c r="B567" s="96" t="s">
        <v>1161</v>
      </c>
      <c r="C567" s="724"/>
      <c r="D567" s="17"/>
      <c r="E567" s="542">
        <f>'BS &amp; Notes 2014-15'!E599</f>
        <v>0</v>
      </c>
      <c r="F567" s="529"/>
      <c r="G567" s="542">
        <f>F565+F566</f>
        <v>0</v>
      </c>
    </row>
    <row r="568" spans="2:8" ht="31.5">
      <c r="B568" s="72" t="s">
        <v>1162</v>
      </c>
      <c r="C568" s="724"/>
      <c r="D568" s="17"/>
      <c r="E568" s="530"/>
      <c r="F568" s="529"/>
      <c r="G568" s="530"/>
    </row>
    <row r="569" spans="2:8">
      <c r="B569" s="72" t="s">
        <v>566</v>
      </c>
      <c r="C569" s="724"/>
      <c r="D569" s="17">
        <f>'BS &amp; Notes 2014-15'!D601</f>
        <v>5851990</v>
      </c>
      <c r="E569" s="542"/>
      <c r="F569" s="17">
        <f>'BS &amp; Notes 2013-14'!D599</f>
        <v>0</v>
      </c>
      <c r="G569" s="542"/>
    </row>
    <row r="570" spans="2:8">
      <c r="B570" s="72" t="s">
        <v>567</v>
      </c>
      <c r="C570" s="724"/>
      <c r="D570" s="17">
        <f>'BS &amp; Notes 2014-15'!D602</f>
        <v>87088741</v>
      </c>
      <c r="E570" s="542"/>
      <c r="F570" s="17">
        <f>'BS &amp; Notes 2013-14'!D600</f>
        <v>0</v>
      </c>
      <c r="G570" s="542"/>
      <c r="H570" s="2">
        <f>F570-109279008</f>
        <v>-109279008</v>
      </c>
    </row>
    <row r="571" spans="2:8">
      <c r="B571" s="72" t="s">
        <v>568</v>
      </c>
      <c r="C571" s="724"/>
      <c r="D571" s="17">
        <f>'BS &amp; Notes 2014-15'!D603</f>
        <v>87375949</v>
      </c>
      <c r="E571" s="542"/>
      <c r="F571" s="17">
        <f>'BS &amp; Notes 2013-14'!D601</f>
        <v>0</v>
      </c>
      <c r="G571" s="542"/>
    </row>
    <row r="572" spans="2:8">
      <c r="B572" s="72" t="s">
        <v>594</v>
      </c>
      <c r="C572" s="724"/>
      <c r="D572" s="17">
        <f>'BS &amp; Notes 2014-15'!D604</f>
        <v>0</v>
      </c>
      <c r="E572" s="542"/>
      <c r="F572" s="17">
        <f>'BS &amp; Notes 2013-14'!D602</f>
        <v>0</v>
      </c>
      <c r="G572" s="542"/>
    </row>
    <row r="573" spans="2:8" ht="11.25" thickBot="1">
      <c r="B573" s="72" t="s">
        <v>597</v>
      </c>
      <c r="C573" s="724"/>
      <c r="D573" s="544">
        <f>'BS &amp; Notes 2014-15'!D605</f>
        <v>0</v>
      </c>
      <c r="E573" s="542">
        <f>SUM(D569:D573)</f>
        <v>180316680</v>
      </c>
      <c r="F573" s="544">
        <f>'BS &amp; Notes 2013-14'!D604</f>
        <v>0</v>
      </c>
      <c r="G573" s="542">
        <f>SUM(F569:F573)</f>
        <v>0</v>
      </c>
    </row>
    <row r="574" spans="2:8" ht="11.25" thickBot="1">
      <c r="B574" s="72"/>
      <c r="C574" s="724"/>
      <c r="D574" s="17"/>
      <c r="E574" s="12"/>
      <c r="F574" s="17"/>
      <c r="G574" s="12"/>
    </row>
    <row r="575" spans="2:8" ht="11.25" thickBot="1">
      <c r="B575" s="515" t="s">
        <v>806</v>
      </c>
      <c r="C575" s="724"/>
      <c r="D575" s="17"/>
      <c r="E575" s="581">
        <f>SUM(E561:E574)</f>
        <v>1249911908</v>
      </c>
      <c r="F575" s="723"/>
      <c r="G575" s="581">
        <f>SUM(G561:G574)</f>
        <v>0</v>
      </c>
    </row>
    <row r="576" spans="2:8" ht="12" thickTop="1" thickBot="1">
      <c r="B576" s="544"/>
      <c r="C576" s="718"/>
      <c r="D576" s="544"/>
      <c r="E576" s="12"/>
      <c r="F576" s="718"/>
      <c r="G576" s="12"/>
    </row>
    <row r="578" spans="2:7" ht="34.5" customHeight="1">
      <c r="B578" s="1437" t="s">
        <v>933</v>
      </c>
      <c r="C578" s="1437"/>
      <c r="D578" s="1437"/>
      <c r="E578" s="1437"/>
      <c r="F578" s="1437"/>
      <c r="G578" s="1437"/>
    </row>
    <row r="580" spans="2:7">
      <c r="B580" s="70" t="s">
        <v>1163</v>
      </c>
    </row>
    <row r="581" spans="2:7" ht="12" thickBot="1">
      <c r="F581" s="1442" t="s">
        <v>1180</v>
      </c>
      <c r="G581" s="1442"/>
    </row>
    <row r="582" spans="2:7" ht="11.25" thickBot="1">
      <c r="B582" s="126"/>
      <c r="C582" s="543"/>
      <c r="D582" s="1431" t="s">
        <v>1231</v>
      </c>
      <c r="E582" s="1432"/>
      <c r="F582" s="1433" t="s">
        <v>1206</v>
      </c>
      <c r="G582" s="1432"/>
    </row>
    <row r="583" spans="2:7">
      <c r="B583" s="88" t="s">
        <v>599</v>
      </c>
      <c r="C583" s="717"/>
      <c r="D583" s="546"/>
      <c r="E583" s="530">
        <f>'BS &amp; Notes 2014-15'!E615</f>
        <v>1222048456</v>
      </c>
      <c r="F583" s="717"/>
      <c r="G583" s="543">
        <f>'BS &amp; Notes 2013-14'!E613</f>
        <v>0</v>
      </c>
    </row>
    <row r="584" spans="2:7">
      <c r="B584" s="72" t="s">
        <v>600</v>
      </c>
      <c r="C584" s="724"/>
      <c r="D584" s="17"/>
      <c r="E584" s="530">
        <f>'BS &amp; Notes 2014-15'!E616</f>
        <v>0</v>
      </c>
      <c r="F584" s="724"/>
      <c r="G584" s="542">
        <f>'BS &amp; Notes 2013-14'!E614</f>
        <v>0</v>
      </c>
    </row>
    <row r="585" spans="2:7">
      <c r="B585" s="72" t="s">
        <v>601</v>
      </c>
      <c r="C585" s="724"/>
      <c r="D585" s="17"/>
      <c r="E585" s="530">
        <f>'BS &amp; Notes 2014-15'!E617</f>
        <v>0</v>
      </c>
      <c r="F585" s="724"/>
      <c r="G585" s="542">
        <f>'BS &amp; Notes 2013-14'!E615</f>
        <v>0</v>
      </c>
    </row>
    <row r="586" spans="2:7">
      <c r="B586" s="72" t="s">
        <v>602</v>
      </c>
      <c r="C586" s="724"/>
      <c r="D586" s="17"/>
      <c r="E586" s="530">
        <f>'BS &amp; Notes 2014-15'!E618</f>
        <v>0</v>
      </c>
      <c r="F586" s="724"/>
      <c r="G586" s="542">
        <f>'BS &amp; Notes 2013-14'!E616</f>
        <v>0</v>
      </c>
    </row>
    <row r="587" spans="2:7" ht="11.25" thickBot="1">
      <c r="B587" s="72"/>
      <c r="C587" s="724"/>
      <c r="D587" s="17"/>
      <c r="E587" s="12"/>
      <c r="F587" s="724"/>
      <c r="G587" s="12"/>
    </row>
    <row r="588" spans="2:7" ht="11.25" thickBot="1">
      <c r="B588" s="515" t="s">
        <v>806</v>
      </c>
      <c r="C588" s="724"/>
      <c r="D588" s="17"/>
      <c r="E588" s="655">
        <f>SUM(E583:E587)</f>
        <v>1222048456</v>
      </c>
      <c r="F588" s="635"/>
      <c r="G588" s="581">
        <f>SUM(G583:G587)</f>
        <v>0</v>
      </c>
    </row>
    <row r="589" spans="2:7" ht="12" thickTop="1" thickBot="1">
      <c r="B589" s="544"/>
      <c r="C589" s="718"/>
      <c r="D589" s="544"/>
      <c r="E589" s="12"/>
      <c r="F589" s="718"/>
      <c r="G589" s="12"/>
    </row>
    <row r="591" spans="2:7" ht="21">
      <c r="B591" s="70" t="s">
        <v>1164</v>
      </c>
    </row>
    <row r="593" spans="2:9" ht="12" thickBot="1">
      <c r="F593" s="1442" t="s">
        <v>1180</v>
      </c>
      <c r="G593" s="1442"/>
    </row>
    <row r="594" spans="2:9" ht="11.25" thickBot="1">
      <c r="B594" s="111" t="s">
        <v>604</v>
      </c>
      <c r="C594" s="19"/>
      <c r="D594" s="1431" t="s">
        <v>1231</v>
      </c>
      <c r="E594" s="1432"/>
      <c r="F594" s="1433" t="s">
        <v>1206</v>
      </c>
      <c r="G594" s="1432"/>
      <c r="I594" s="1542" t="s">
        <v>1038</v>
      </c>
    </row>
    <row r="595" spans="2:9">
      <c r="B595" s="94" t="s">
        <v>498</v>
      </c>
      <c r="C595" s="717"/>
      <c r="D595" s="306"/>
      <c r="E595" s="307"/>
      <c r="F595" s="306"/>
      <c r="G595" s="145"/>
      <c r="I595" s="1542"/>
    </row>
    <row r="596" spans="2:9">
      <c r="B596" s="72" t="s">
        <v>605</v>
      </c>
      <c r="C596" s="724"/>
      <c r="D596" s="551">
        <f>'BS &amp; Notes 2014-15'!D627</f>
        <v>45761215162</v>
      </c>
      <c r="E596" s="724"/>
      <c r="F596" s="551">
        <f>'BS &amp; Notes 2013-14'!D625</f>
        <v>0</v>
      </c>
      <c r="G596" s="542"/>
      <c r="I596" s="1542"/>
    </row>
    <row r="597" spans="2:9">
      <c r="B597" s="72" t="s">
        <v>606</v>
      </c>
      <c r="C597" s="724"/>
      <c r="D597" s="551">
        <f>'BS &amp; Notes 2014-15'!D628</f>
        <v>8999575504</v>
      </c>
      <c r="E597" s="724"/>
      <c r="F597" s="551">
        <f>'BS &amp; Notes 2013-14'!D626</f>
        <v>0</v>
      </c>
      <c r="G597" s="542"/>
      <c r="I597" s="1542"/>
    </row>
    <row r="598" spans="2:9">
      <c r="B598" s="72" t="s">
        <v>607</v>
      </c>
      <c r="C598" s="724"/>
      <c r="D598" s="551">
        <f>'BS &amp; Notes 2014-15'!D629</f>
        <v>79829773378</v>
      </c>
      <c r="E598" s="724"/>
      <c r="F598" s="551">
        <f>'BS &amp; Notes 2013-14'!D627</f>
        <v>0</v>
      </c>
      <c r="G598" s="542"/>
      <c r="I598" s="1542"/>
    </row>
    <row r="599" spans="2:9">
      <c r="B599" s="72" t="s">
        <v>608</v>
      </c>
      <c r="C599" s="724"/>
      <c r="D599" s="551">
        <f>'BS &amp; Notes 2014-15'!D630</f>
        <v>15914181812</v>
      </c>
      <c r="E599" s="724"/>
      <c r="F599" s="551">
        <f>'BS &amp; Notes 2013-14'!D628</f>
        <v>0</v>
      </c>
      <c r="G599" s="542"/>
      <c r="I599" s="1542"/>
    </row>
    <row r="600" spans="2:9">
      <c r="B600" s="72" t="s">
        <v>609</v>
      </c>
      <c r="C600" s="724"/>
      <c r="D600" s="551">
        <f>'BS &amp; Notes 2014-15'!D631</f>
        <v>2674070377</v>
      </c>
      <c r="E600" s="724"/>
      <c r="F600" s="551">
        <f>'BS &amp; Notes 2013-14'!D629</f>
        <v>0</v>
      </c>
      <c r="G600" s="542"/>
      <c r="I600" s="1542"/>
    </row>
    <row r="601" spans="2:9">
      <c r="B601" s="72" t="s">
        <v>610</v>
      </c>
      <c r="C601" s="724"/>
      <c r="D601" s="551">
        <f>'BS &amp; Notes 2014-15'!D632</f>
        <v>15835333761</v>
      </c>
      <c r="E601" s="724"/>
      <c r="F601" s="551">
        <f>'BS &amp; Notes 2013-14'!D630</f>
        <v>0</v>
      </c>
      <c r="G601" s="542"/>
      <c r="I601" s="1542"/>
    </row>
    <row r="602" spans="2:9" ht="11.25" thickBot="1">
      <c r="B602" s="72" t="s">
        <v>611</v>
      </c>
      <c r="C602" s="724"/>
      <c r="D602" s="558">
        <f>'BS &amp; Notes 2014-15'!D633</f>
        <v>839033764</v>
      </c>
      <c r="E602" s="554">
        <f>SUM(D596:D602)</f>
        <v>169853183758</v>
      </c>
      <c r="F602" s="553">
        <f>'BS &amp; Notes 2013-14'!D631</f>
        <v>0</v>
      </c>
      <c r="G602" s="552">
        <f>SUM(F596:F602)</f>
        <v>0</v>
      </c>
      <c r="I602" s="1542"/>
    </row>
    <row r="603" spans="2:9">
      <c r="B603" s="72"/>
      <c r="C603" s="724"/>
      <c r="D603" s="17"/>
      <c r="E603" s="724"/>
      <c r="F603" s="17"/>
      <c r="G603" s="542"/>
      <c r="I603" s="1542"/>
    </row>
    <row r="604" spans="2:9" ht="11.25" customHeight="1">
      <c r="B604" s="710" t="s">
        <v>884</v>
      </c>
      <c r="C604" s="724"/>
      <c r="D604" s="313"/>
      <c r="E604" s="287"/>
      <c r="F604" s="313"/>
      <c r="G604" s="312"/>
      <c r="I604" s="1542"/>
    </row>
    <row r="605" spans="2:9" ht="11.25" customHeight="1">
      <c r="B605" s="72" t="s">
        <v>605</v>
      </c>
      <c r="C605" s="724"/>
      <c r="D605" s="17">
        <f>'BS &amp; Notes 2014-15'!D636</f>
        <v>543861082</v>
      </c>
      <c r="E605" s="724"/>
      <c r="F605" s="551">
        <f>'BS &amp; Notes 2013-14'!D634</f>
        <v>0</v>
      </c>
      <c r="G605" s="542"/>
      <c r="I605" s="1542"/>
    </row>
    <row r="606" spans="2:9" ht="11.25" customHeight="1">
      <c r="B606" s="72" t="s">
        <v>606</v>
      </c>
      <c r="C606" s="724"/>
      <c r="D606" s="17">
        <f>'BS &amp; Notes 2014-15'!D637</f>
        <v>81268563</v>
      </c>
      <c r="E606" s="724"/>
      <c r="F606" s="551">
        <f>'BS &amp; Notes 2013-14'!D635</f>
        <v>0</v>
      </c>
      <c r="G606" s="542"/>
      <c r="I606" s="1542"/>
    </row>
    <row r="607" spans="2:9" ht="11.25" customHeight="1">
      <c r="B607" s="72" t="s">
        <v>607</v>
      </c>
      <c r="C607" s="724"/>
      <c r="D607" s="17">
        <f>'BS &amp; Notes 2014-15'!D638</f>
        <v>0</v>
      </c>
      <c r="E607" s="724"/>
      <c r="F607" s="551">
        <f>'BS &amp; Notes 2013-14'!D636</f>
        <v>0</v>
      </c>
      <c r="G607" s="542"/>
      <c r="I607" s="1542"/>
    </row>
    <row r="608" spans="2:9" ht="11.25" customHeight="1">
      <c r="B608" s="72" t="s">
        <v>608</v>
      </c>
      <c r="C608" s="724"/>
      <c r="D608" s="17">
        <f>'BS &amp; Notes 2014-15'!D639</f>
        <v>0</v>
      </c>
      <c r="E608" s="724"/>
      <c r="F608" s="551">
        <f>'BS &amp; Notes 2013-14'!D637</f>
        <v>0</v>
      </c>
      <c r="G608" s="542"/>
      <c r="I608" s="1542"/>
    </row>
    <row r="609" spans="2:9" ht="11.25" customHeight="1">
      <c r="B609" s="72" t="s">
        <v>609</v>
      </c>
      <c r="C609" s="724"/>
      <c r="D609" s="17">
        <f>'BS &amp; Notes 2014-15'!D640</f>
        <v>0</v>
      </c>
      <c r="E609" s="724"/>
      <c r="F609" s="551">
        <f>'BS &amp; Notes 2013-14'!D638</f>
        <v>0</v>
      </c>
      <c r="G609" s="542"/>
      <c r="I609" s="1542"/>
    </row>
    <row r="610" spans="2:9" ht="11.25" customHeight="1">
      <c r="B610" s="72" t="s">
        <v>610</v>
      </c>
      <c r="C610" s="724"/>
      <c r="D610" s="17">
        <f>'BS &amp; Notes 2014-15'!D641</f>
        <v>0</v>
      </c>
      <c r="E610" s="724"/>
      <c r="F610" s="551">
        <f>'BS &amp; Notes 2013-14'!D639</f>
        <v>0</v>
      </c>
      <c r="G610" s="542"/>
      <c r="I610" s="1542"/>
    </row>
    <row r="611" spans="2:9" ht="12" customHeight="1" thickBot="1">
      <c r="B611" s="72" t="s">
        <v>611</v>
      </c>
      <c r="C611" s="724"/>
      <c r="D611" s="558">
        <f>'BS &amp; Notes 2014-15'!D642</f>
        <v>0</v>
      </c>
      <c r="E611" s="724">
        <f>SUM(D605:D611)</f>
        <v>625129645</v>
      </c>
      <c r="F611" s="553">
        <f>'BS &amp; Notes 2013-14'!D640</f>
        <v>0</v>
      </c>
      <c r="G611" s="542">
        <f>SUM(F605:F611)</f>
        <v>0</v>
      </c>
      <c r="I611" s="1542"/>
    </row>
    <row r="612" spans="2:9" ht="11.25" customHeight="1">
      <c r="B612" s="72"/>
      <c r="C612" s="724"/>
      <c r="D612" s="17"/>
      <c r="E612" s="724"/>
      <c r="F612" s="17"/>
      <c r="G612" s="542"/>
      <c r="I612" s="1542"/>
    </row>
    <row r="613" spans="2:9">
      <c r="B613" s="804" t="s">
        <v>4</v>
      </c>
      <c r="C613" s="724"/>
      <c r="D613" s="313"/>
      <c r="E613" s="287"/>
      <c r="F613" s="313"/>
      <c r="G613" s="312"/>
      <c r="I613" s="1542"/>
    </row>
    <row r="614" spans="2:9">
      <c r="B614" s="72" t="s">
        <v>605</v>
      </c>
      <c r="C614" s="724"/>
      <c r="D614" s="17">
        <f>'BS &amp; Notes 2014-15'!D645</f>
        <v>550411426</v>
      </c>
      <c r="E614" s="263">
        <f>-E620+E611-E615</f>
        <v>-6651135</v>
      </c>
      <c r="F614" s="551">
        <f>'BS &amp; Notes 2013-14'!D643</f>
        <v>0</v>
      </c>
      <c r="G614" s="263">
        <f>-G620+G611</f>
        <v>0</v>
      </c>
      <c r="H614" s="451"/>
      <c r="I614" s="1542"/>
    </row>
    <row r="615" spans="2:9" ht="11.25" customHeight="1">
      <c r="B615" s="72" t="s">
        <v>606</v>
      </c>
      <c r="C615" s="724"/>
      <c r="D615" s="17">
        <f>'BS &amp; Notes 2014-15'!D646</f>
        <v>167348828</v>
      </c>
      <c r="E615" s="263">
        <v>-85979474</v>
      </c>
      <c r="F615" s="551">
        <f>'BS &amp; Notes 2013-14'!D644</f>
        <v>0</v>
      </c>
      <c r="G615" s="542"/>
      <c r="I615" s="1542"/>
    </row>
    <row r="616" spans="2:9" ht="11.25" customHeight="1">
      <c r="B616" s="72" t="s">
        <v>607</v>
      </c>
      <c r="C616" s="724"/>
      <c r="D616" s="17">
        <f>'BS &amp; Notes 2014-15'!D647</f>
        <v>0</v>
      </c>
      <c r="E616" s="724"/>
      <c r="F616" s="551">
        <f>'BS &amp; Notes 2013-14'!D645</f>
        <v>0</v>
      </c>
      <c r="G616" s="542"/>
      <c r="I616" s="1542"/>
    </row>
    <row r="617" spans="2:9" ht="11.25" customHeight="1">
      <c r="B617" s="72" t="s">
        <v>608</v>
      </c>
      <c r="C617" s="724"/>
      <c r="D617" s="17">
        <f>'BS &amp; Notes 2014-15'!D648</f>
        <v>0</v>
      </c>
      <c r="E617" s="724"/>
      <c r="F617" s="551">
        <f>'BS &amp; Notes 2013-14'!D646</f>
        <v>0</v>
      </c>
      <c r="G617" s="542"/>
      <c r="I617" s="1542"/>
    </row>
    <row r="618" spans="2:9" ht="11.25" customHeight="1">
      <c r="B618" s="72" t="s">
        <v>609</v>
      </c>
      <c r="C618" s="724"/>
      <c r="D618" s="17">
        <f>'BS &amp; Notes 2014-15'!D649</f>
        <v>0</v>
      </c>
      <c r="E618" s="724"/>
      <c r="F618" s="551">
        <f>'BS &amp; Notes 2013-14'!D647</f>
        <v>0</v>
      </c>
      <c r="G618" s="542"/>
      <c r="I618" s="1542"/>
    </row>
    <row r="619" spans="2:9" ht="11.25" customHeight="1">
      <c r="B619" s="72" t="s">
        <v>610</v>
      </c>
      <c r="C619" s="724"/>
      <c r="D619" s="17">
        <f>'BS &amp; Notes 2014-15'!D650</f>
        <v>0</v>
      </c>
      <c r="E619" s="724"/>
      <c r="F619" s="551">
        <f>'BS &amp; Notes 2013-14'!D648</f>
        <v>0</v>
      </c>
      <c r="G619" s="542"/>
      <c r="I619" s="1542"/>
    </row>
    <row r="620" spans="2:9" ht="11.25" customHeight="1">
      <c r="B620" s="72" t="s">
        <v>611</v>
      </c>
      <c r="C620" s="724"/>
      <c r="D620" s="558">
        <f>'BS &amp; Notes 2014-15'!D651</f>
        <v>0</v>
      </c>
      <c r="E620" s="542">
        <f>SUM(D614:D620)</f>
        <v>717760254</v>
      </c>
      <c r="F620" s="805">
        <f>'BS &amp; Notes 2013-14'!D649</f>
        <v>0</v>
      </c>
      <c r="G620" s="542">
        <f>SUM(F614:F620)</f>
        <v>0</v>
      </c>
      <c r="I620" s="1542"/>
    </row>
    <row r="621" spans="2:9" ht="11.25" thickBot="1">
      <c r="B621" s="509" t="s">
        <v>806</v>
      </c>
      <c r="C621" s="718"/>
      <c r="D621" s="544"/>
      <c r="E621" s="660">
        <f>E602+E614+E615</f>
        <v>169760553149</v>
      </c>
      <c r="F621" s="716"/>
      <c r="G621" s="660">
        <f>G602+G614</f>
        <v>0</v>
      </c>
      <c r="I621" s="1542"/>
    </row>
    <row r="622" spans="2:9">
      <c r="E622" s="744"/>
      <c r="G622" s="744"/>
      <c r="H622" s="744"/>
    </row>
    <row r="623" spans="2:9">
      <c r="B623" s="70" t="s">
        <v>1165</v>
      </c>
      <c r="E623" s="744"/>
      <c r="G623" s="744"/>
    </row>
    <row r="624" spans="2:9" ht="12" thickBot="1">
      <c r="F624" s="1442" t="s">
        <v>1180</v>
      </c>
      <c r="G624" s="1442"/>
    </row>
    <row r="625" spans="2:7" ht="11.25" thickBot="1">
      <c r="B625" s="120"/>
      <c r="C625" s="19"/>
      <c r="D625" s="1431" t="s">
        <v>1231</v>
      </c>
      <c r="E625" s="1432"/>
      <c r="F625" s="1433" t="s">
        <v>1206</v>
      </c>
      <c r="G625" s="1432"/>
    </row>
    <row r="626" spans="2:7">
      <c r="B626" s="714" t="s">
        <v>1166</v>
      </c>
      <c r="C626" s="543"/>
      <c r="D626" s="546"/>
      <c r="E626" s="543"/>
      <c r="F626" s="17"/>
      <c r="G626" s="542"/>
    </row>
    <row r="627" spans="2:7">
      <c r="B627" s="113" t="s">
        <v>613</v>
      </c>
      <c r="C627" s="542"/>
      <c r="D627" s="17">
        <f>'BS &amp; Notes 2014-15'!D660</f>
        <v>886977780</v>
      </c>
      <c r="E627" s="542"/>
      <c r="F627" s="551">
        <f>'BS &amp; Notes 2013-14'!D658</f>
        <v>0</v>
      </c>
      <c r="G627" s="763"/>
    </row>
    <row r="628" spans="2:7">
      <c r="B628" s="113" t="s">
        <v>614</v>
      </c>
      <c r="C628" s="542"/>
      <c r="D628" s="17">
        <f>'BS &amp; Notes 2014-15'!D661</f>
        <v>649910326</v>
      </c>
      <c r="E628" s="542"/>
      <c r="F628" s="551">
        <f>'BS &amp; Notes 2013-14'!D659</f>
        <v>0</v>
      </c>
      <c r="G628" s="763"/>
    </row>
    <row r="629" spans="2:7" ht="21">
      <c r="B629" s="113" t="s">
        <v>615</v>
      </c>
      <c r="C629" s="542"/>
      <c r="D629" s="17"/>
      <c r="E629" s="530">
        <f>+D627-D628</f>
        <v>237067454</v>
      </c>
      <c r="F629" s="774"/>
      <c r="G629" s="775">
        <f>F627-F628</f>
        <v>0</v>
      </c>
    </row>
    <row r="630" spans="2:7">
      <c r="B630" s="707" t="s">
        <v>1167</v>
      </c>
      <c r="C630" s="542"/>
      <c r="D630" s="17"/>
      <c r="E630" s="530"/>
      <c r="F630" s="555"/>
      <c r="G630" s="530"/>
    </row>
    <row r="631" spans="2:7">
      <c r="B631" s="113" t="s">
        <v>613</v>
      </c>
      <c r="C631" s="542"/>
      <c r="D631" s="17">
        <f>'BS &amp; Notes 2014-15'!D664</f>
        <v>0</v>
      </c>
      <c r="E631" s="530"/>
      <c r="F631" s="551">
        <f>'BS &amp; Notes 2013-14'!D662</f>
        <v>0</v>
      </c>
      <c r="G631" s="542"/>
    </row>
    <row r="632" spans="2:7">
      <c r="B632" s="113" t="s">
        <v>614</v>
      </c>
      <c r="C632" s="542"/>
      <c r="D632" s="17">
        <f>'BS &amp; Notes 2014-15'!D665</f>
        <v>0</v>
      </c>
      <c r="E632" s="530"/>
      <c r="F632" s="551">
        <f>'BS &amp; Notes 2013-14'!D663</f>
        <v>0</v>
      </c>
      <c r="G632" s="542"/>
    </row>
    <row r="633" spans="2:7" ht="21">
      <c r="B633" s="113" t="s">
        <v>616</v>
      </c>
      <c r="C633" s="542"/>
      <c r="D633" s="17"/>
      <c r="E633" s="530">
        <f>+D631-D632</f>
        <v>0</v>
      </c>
      <c r="F633" s="555"/>
      <c r="G633" s="775">
        <f>F631-F632</f>
        <v>0</v>
      </c>
    </row>
    <row r="634" spans="2:7">
      <c r="B634" s="707" t="s">
        <v>1168</v>
      </c>
      <c r="C634" s="542"/>
      <c r="D634" s="17"/>
      <c r="E634" s="542"/>
      <c r="F634" s="17"/>
      <c r="G634" s="542"/>
    </row>
    <row r="635" spans="2:7">
      <c r="B635" s="113" t="s">
        <v>617</v>
      </c>
      <c r="C635" s="542"/>
      <c r="D635" s="17">
        <f>'BS &amp; Notes 2014-15'!D668</f>
        <v>2196642739</v>
      </c>
      <c r="E635" s="542"/>
      <c r="F635" s="551">
        <f>'BS &amp; Notes 2013-14'!D666</f>
        <v>0</v>
      </c>
      <c r="G635" s="542"/>
    </row>
    <row r="636" spans="2:7">
      <c r="B636" s="113" t="s">
        <v>618</v>
      </c>
      <c r="C636" s="542"/>
      <c r="D636" s="17">
        <f>'BS &amp; Notes 2014-15'!D669</f>
        <v>2717929614</v>
      </c>
      <c r="E636" s="542"/>
      <c r="F636" s="551">
        <f>'BS &amp; Notes 2013-14'!D667</f>
        <v>0</v>
      </c>
      <c r="G636" s="542"/>
    </row>
    <row r="637" spans="2:7" ht="21">
      <c r="B637" s="113" t="s">
        <v>619</v>
      </c>
      <c r="C637" s="542"/>
      <c r="D637" s="17"/>
      <c r="E637" s="263">
        <f>+D635-D636</f>
        <v>-521286875</v>
      </c>
      <c r="F637" s="17"/>
      <c r="G637" s="263">
        <f>+F635-F636</f>
        <v>0</v>
      </c>
    </row>
    <row r="638" spans="2:7" ht="11.25" thickBot="1">
      <c r="B638" s="113"/>
      <c r="C638" s="542"/>
      <c r="D638" s="17"/>
      <c r="E638" s="265"/>
      <c r="F638" s="17"/>
      <c r="G638" s="12"/>
    </row>
    <row r="639" spans="2:7" ht="11.25" thickBot="1">
      <c r="B639" s="515" t="s">
        <v>806</v>
      </c>
      <c r="C639" s="542"/>
      <c r="D639" s="17"/>
      <c r="E639" s="580">
        <f>SUM(E626:E638)</f>
        <v>-284219421</v>
      </c>
      <c r="F639" s="723"/>
      <c r="G639" s="580">
        <f>SUM(G626:G638)</f>
        <v>0</v>
      </c>
    </row>
    <row r="640" spans="2:7" ht="12" thickTop="1" thickBot="1">
      <c r="B640" s="544"/>
      <c r="C640" s="12"/>
      <c r="D640" s="544"/>
      <c r="E640" s="12"/>
      <c r="F640" s="544"/>
      <c r="G640" s="12"/>
    </row>
    <row r="642" spans="2:39">
      <c r="B642" s="70" t="s">
        <v>1042</v>
      </c>
    </row>
    <row r="643" spans="2:39" ht="12" thickBot="1">
      <c r="F643" s="1442" t="s">
        <v>1180</v>
      </c>
      <c r="G643" s="1442"/>
    </row>
    <row r="644" spans="2:39" ht="11.25" customHeight="1" thickBot="1">
      <c r="B644" s="120"/>
      <c r="C644" s="19"/>
      <c r="D644" s="1431" t="s">
        <v>1231</v>
      </c>
      <c r="E644" s="1432"/>
      <c r="F644" s="1433" t="s">
        <v>1206</v>
      </c>
      <c r="G644" s="1432"/>
      <c r="H644" s="1463"/>
      <c r="I644" s="1464"/>
      <c r="J644" s="1463"/>
      <c r="K644" s="1464"/>
      <c r="L644" s="1463"/>
      <c r="M644" s="1464"/>
      <c r="N644" s="1463"/>
      <c r="O644" s="1464"/>
      <c r="P644" s="1463"/>
      <c r="Q644" s="1464"/>
      <c r="R644" s="1463"/>
      <c r="S644" s="1464"/>
      <c r="T644" s="1463"/>
      <c r="U644" s="1464"/>
      <c r="V644" s="1463"/>
      <c r="W644" s="1464"/>
      <c r="X644" s="1463"/>
      <c r="Y644" s="1464"/>
      <c r="Z644" s="1463"/>
      <c r="AA644" s="1464"/>
      <c r="AB644" s="1463"/>
      <c r="AC644" s="1464"/>
      <c r="AD644" s="1463"/>
      <c r="AE644" s="1464"/>
      <c r="AF644" s="1463"/>
      <c r="AG644" s="1464"/>
      <c r="AH644" s="1463"/>
      <c r="AI644" s="1464"/>
      <c r="AJ644" s="1463"/>
      <c r="AK644" s="1464"/>
      <c r="AL644" s="1463"/>
      <c r="AM644" s="1464"/>
    </row>
    <row r="645" spans="2:39">
      <c r="B645" s="450" t="s">
        <v>988</v>
      </c>
      <c r="C645" s="559"/>
      <c r="D645" s="546"/>
      <c r="E645" s="543"/>
      <c r="F645" s="717"/>
      <c r="G645" s="543"/>
    </row>
    <row r="646" spans="2:39">
      <c r="B646" s="364" t="s">
        <v>1044</v>
      </c>
      <c r="C646" s="269"/>
      <c r="D646" s="17">
        <f>'BS &amp; Notes 2014-15'!D679</f>
        <v>1282587214</v>
      </c>
      <c r="E646" s="542"/>
      <c r="F646" s="551">
        <f>'BS &amp; Notes 2013-14'!D677</f>
        <v>0</v>
      </c>
      <c r="G646" s="542"/>
      <c r="H646" s="262"/>
      <c r="I646" s="263"/>
    </row>
    <row r="647" spans="2:39">
      <c r="B647" s="364" t="s">
        <v>1045</v>
      </c>
      <c r="C647" s="269"/>
      <c r="D647" s="17">
        <f>'BS &amp; Notes 2014-15'!D680</f>
        <v>141988025</v>
      </c>
      <c r="E647" s="542"/>
      <c r="F647" s="551">
        <f>'BS &amp; Notes 2013-14'!D678</f>
        <v>0</v>
      </c>
      <c r="G647" s="542"/>
      <c r="H647" s="262"/>
      <c r="I647" s="263"/>
    </row>
    <row r="648" spans="2:39">
      <c r="B648" s="364" t="s">
        <v>1046</v>
      </c>
      <c r="C648" s="269"/>
      <c r="D648" s="17">
        <f>'BS &amp; Notes 2014-15'!D681</f>
        <v>178104</v>
      </c>
      <c r="E648" s="542"/>
      <c r="F648" s="551">
        <f>'BS &amp; Notes 2013-14'!D679</f>
        <v>0</v>
      </c>
      <c r="G648" s="542"/>
      <c r="H648" s="262"/>
      <c r="I648" s="263"/>
    </row>
    <row r="649" spans="2:39">
      <c r="B649" s="364" t="s">
        <v>1047</v>
      </c>
      <c r="C649" s="269"/>
      <c r="D649" s="17">
        <f>'BS &amp; Notes 2014-15'!D682</f>
        <v>154421</v>
      </c>
      <c r="E649" s="542"/>
      <c r="F649" s="551">
        <f>'BS &amp; Notes 2013-14'!D680</f>
        <v>0</v>
      </c>
      <c r="G649" s="542"/>
      <c r="H649" s="262"/>
      <c r="I649" s="263"/>
    </row>
    <row r="650" spans="2:39">
      <c r="B650" s="364" t="s">
        <v>1048</v>
      </c>
      <c r="C650" s="269"/>
      <c r="D650" s="17">
        <f>'BS &amp; Notes 2014-15'!D683</f>
        <v>26802308</v>
      </c>
      <c r="E650" s="542"/>
      <c r="F650" s="551">
        <f>'BS &amp; Notes 2013-14'!D681</f>
        <v>0</v>
      </c>
      <c r="G650" s="542"/>
      <c r="H650" s="262"/>
      <c r="I650" s="263"/>
    </row>
    <row r="651" spans="2:39">
      <c r="B651" s="364" t="s">
        <v>1049</v>
      </c>
      <c r="C651" s="269"/>
      <c r="D651" s="17">
        <f>'BS &amp; Notes 2014-15'!D684</f>
        <v>72593958</v>
      </c>
      <c r="E651" s="542"/>
      <c r="F651" s="551">
        <f>'BS &amp; Notes 2013-14'!D682</f>
        <v>0</v>
      </c>
      <c r="G651" s="542"/>
      <c r="H651" s="262"/>
      <c r="I651" s="263"/>
    </row>
    <row r="652" spans="2:39">
      <c r="B652" s="364" t="s">
        <v>1189</v>
      </c>
      <c r="C652" s="269"/>
      <c r="D652" s="17">
        <f>'BS &amp; Notes 2014-15'!D685</f>
        <v>149486799</v>
      </c>
      <c r="E652" s="542"/>
      <c r="F652" s="551">
        <f>'BS &amp; Notes 2013-14'!D683</f>
        <v>0</v>
      </c>
      <c r="G652" s="542"/>
      <c r="H652" s="262"/>
      <c r="I652" s="263"/>
    </row>
    <row r="653" spans="2:39">
      <c r="B653" s="364" t="s">
        <v>1050</v>
      </c>
      <c r="C653" s="269"/>
      <c r="D653" s="17">
        <f>'BS &amp; Notes 2014-15'!D686</f>
        <v>727468</v>
      </c>
      <c r="E653" s="542"/>
      <c r="F653" s="551">
        <f>'BS &amp; Notes 2013-14'!D684</f>
        <v>0</v>
      </c>
      <c r="G653" s="542"/>
      <c r="H653" s="262"/>
      <c r="I653" s="263"/>
    </row>
    <row r="654" spans="2:39" ht="11.25" thickBot="1">
      <c r="B654" s="364" t="s">
        <v>1051</v>
      </c>
      <c r="C654" s="269"/>
      <c r="D654" s="544">
        <f>'BS &amp; Notes 2014-15'!D687</f>
        <v>3227872</v>
      </c>
      <c r="E654" s="542">
        <f>SUM(D646:D654)</f>
        <v>1677746169</v>
      </c>
      <c r="F654" s="553">
        <f>'BS &amp; Notes 2013-14'!D685</f>
        <v>0</v>
      </c>
      <c r="G654" s="542">
        <f>SUM(F646:F654)</f>
        <v>0</v>
      </c>
      <c r="H654" s="264"/>
      <c r="I654" s="263"/>
    </row>
    <row r="655" spans="2:39" ht="22.5" customHeight="1">
      <c r="B655" s="1478" t="s">
        <v>989</v>
      </c>
      <c r="C655" s="1479"/>
      <c r="D655" s="17"/>
      <c r="E655" s="542"/>
      <c r="F655" s="724"/>
      <c r="G655" s="542"/>
      <c r="H655" s="262"/>
      <c r="I655" s="263"/>
    </row>
    <row r="656" spans="2:39">
      <c r="B656" s="364" t="s">
        <v>1040</v>
      </c>
      <c r="C656" s="263"/>
      <c r="D656" s="17">
        <f>'BS &amp; Notes 2014-15'!D689</f>
        <v>97076343</v>
      </c>
      <c r="F656" s="551">
        <f>'BS &amp; Notes 2013-14'!D687</f>
        <v>0</v>
      </c>
      <c r="G656" s="542"/>
      <c r="H656" s="262"/>
      <c r="I656" s="263"/>
    </row>
    <row r="657" spans="2:9">
      <c r="B657" s="364" t="s">
        <v>1052</v>
      </c>
      <c r="C657" s="263"/>
      <c r="D657" s="17">
        <f>'BS &amp; Notes 2014-15'!D690</f>
        <v>13965302</v>
      </c>
      <c r="F657" s="551">
        <f>'BS &amp; Notes 2013-14'!D688</f>
        <v>0</v>
      </c>
      <c r="G657" s="542"/>
      <c r="H657" s="262"/>
      <c r="I657" s="263"/>
    </row>
    <row r="658" spans="2:9">
      <c r="B658" s="364" t="s">
        <v>1053</v>
      </c>
      <c r="C658" s="263"/>
      <c r="D658" s="17">
        <f>'BS &amp; Notes 2014-15'!D691</f>
        <v>17987045</v>
      </c>
      <c r="F658" s="551">
        <f>'BS &amp; Notes 2013-14'!D689</f>
        <v>0</v>
      </c>
      <c r="G658" s="542"/>
      <c r="H658" s="262"/>
      <c r="I658" s="263"/>
    </row>
    <row r="659" spans="2:9" ht="11.25" thickBot="1">
      <c r="B659" s="364" t="s">
        <v>1054</v>
      </c>
      <c r="C659" s="263"/>
      <c r="D659" s="544">
        <f>'BS &amp; Notes 2014-15'!D692</f>
        <v>78835952</v>
      </c>
      <c r="E659" s="542">
        <f>SUM(D656:D659)</f>
        <v>207864642</v>
      </c>
      <c r="F659" s="553">
        <f>'BS &amp; Notes 2013-14'!D690</f>
        <v>0</v>
      </c>
      <c r="G659" s="542">
        <f>SUM(F656:F659)</f>
        <v>0</v>
      </c>
      <c r="H659" s="264"/>
      <c r="I659" s="263"/>
    </row>
    <row r="660" spans="2:9" ht="11.25">
      <c r="B660" s="364"/>
      <c r="C660" s="269"/>
      <c r="D660" s="17"/>
      <c r="E660" s="542"/>
      <c r="F660" s="724"/>
      <c r="G660" s="542"/>
      <c r="H660" s="237"/>
      <c r="I660" s="243"/>
    </row>
    <row r="661" spans="2:9" ht="11.25">
      <c r="B661" s="720" t="s">
        <v>990</v>
      </c>
      <c r="C661" s="269"/>
      <c r="D661" s="17"/>
      <c r="E661" s="542">
        <f>'BS &amp; Notes 2014-15'!E694</f>
        <v>0</v>
      </c>
      <c r="F661" s="724"/>
      <c r="G661" s="552">
        <f>'BS &amp; Notes 2013-14'!E692</f>
        <v>0</v>
      </c>
      <c r="H661" s="237"/>
      <c r="I661" s="243"/>
    </row>
    <row r="662" spans="2:9" ht="11.25">
      <c r="B662" s="345"/>
      <c r="C662" s="269"/>
      <c r="D662" s="17"/>
      <c r="E662" s="542"/>
      <c r="F662" s="724"/>
      <c r="G662" s="530"/>
      <c r="H662" s="237"/>
      <c r="I662" s="243"/>
    </row>
    <row r="663" spans="2:9" ht="11.25">
      <c r="B663" s="720" t="s">
        <v>991</v>
      </c>
      <c r="C663" s="269"/>
      <c r="D663" s="17"/>
      <c r="E663" s="542">
        <f>'BS &amp; Notes 2014-15'!E696</f>
        <v>32644819</v>
      </c>
      <c r="F663" s="724"/>
      <c r="G663" s="552">
        <f>'BS &amp; Notes 2013-14'!E694</f>
        <v>0</v>
      </c>
      <c r="H663" s="237"/>
      <c r="I663" s="243"/>
    </row>
    <row r="664" spans="2:9" ht="11.25" thickBot="1">
      <c r="B664" s="327"/>
      <c r="C664" s="269"/>
      <c r="D664" s="17"/>
      <c r="E664" s="12"/>
      <c r="F664" s="724"/>
      <c r="G664" s="12"/>
    </row>
    <row r="665" spans="2:9" ht="11.25" thickBot="1">
      <c r="B665" s="667" t="s">
        <v>806</v>
      </c>
      <c r="C665" s="269"/>
      <c r="D665" s="17"/>
      <c r="E665" s="581">
        <f>SUM(E645:E663)</f>
        <v>1918255630</v>
      </c>
      <c r="F665" s="725"/>
      <c r="G665" s="581">
        <f>SUM(G645:G663)</f>
        <v>0</v>
      </c>
    </row>
    <row r="666" spans="2:9" ht="12" thickTop="1" thickBot="1">
      <c r="B666" s="264"/>
      <c r="C666" s="517"/>
      <c r="D666" s="544"/>
      <c r="E666" s="12"/>
      <c r="F666" s="718"/>
      <c r="G666" s="12"/>
    </row>
    <row r="669" spans="2:9" ht="30" customHeight="1">
      <c r="B669" s="1437" t="s">
        <v>630</v>
      </c>
      <c r="C669" s="1437"/>
      <c r="D669" s="1437"/>
      <c r="E669" s="1437"/>
      <c r="F669" s="1437"/>
      <c r="G669" s="1437"/>
    </row>
    <row r="671" spans="2:9">
      <c r="B671" s="1" t="s">
        <v>557</v>
      </c>
    </row>
    <row r="672" spans="2:9" ht="12" thickBot="1">
      <c r="F672" s="1547" t="s">
        <v>1043</v>
      </c>
      <c r="G672" s="1547"/>
    </row>
    <row r="673" spans="2:39" ht="11.25" thickBot="1">
      <c r="B673" s="120"/>
      <c r="C673" s="19"/>
      <c r="D673" s="1431" t="s">
        <v>1231</v>
      </c>
      <c r="E673" s="1432"/>
      <c r="F673" s="1433" t="s">
        <v>1206</v>
      </c>
      <c r="G673" s="1432"/>
    </row>
    <row r="674" spans="2:39">
      <c r="B674" s="132" t="s">
        <v>260</v>
      </c>
      <c r="C674" s="717"/>
      <c r="D674" s="546"/>
      <c r="E674" s="543">
        <f>'BS &amp; Notes 2014-15'!E708</f>
        <v>143751853</v>
      </c>
      <c r="F674" s="717"/>
      <c r="G674" s="550">
        <f>'BS &amp; Notes 2013-14'!E706</f>
        <v>0</v>
      </c>
    </row>
    <row r="675" spans="2:39">
      <c r="B675" s="96" t="s">
        <v>261</v>
      </c>
      <c r="C675" s="724"/>
      <c r="D675" s="17"/>
      <c r="E675" s="542">
        <f>'BS &amp; Notes 2014-15'!E709</f>
        <v>0</v>
      </c>
      <c r="F675" s="724"/>
      <c r="G675" s="552">
        <f>'BS &amp; Notes 2013-14'!E707</f>
        <v>0</v>
      </c>
    </row>
    <row r="676" spans="2:39" ht="13.5" customHeight="1">
      <c r="B676" s="1440" t="s">
        <v>262</v>
      </c>
      <c r="C676" s="1441"/>
      <c r="D676" s="17"/>
      <c r="E676" s="542">
        <f>'BS &amp; Notes 2014-15'!E710</f>
        <v>0</v>
      </c>
      <c r="F676" s="529"/>
      <c r="G676" s="552">
        <f>'BS &amp; Notes 2013-14'!E708</f>
        <v>0</v>
      </c>
    </row>
    <row r="677" spans="2:39" ht="13.5" customHeight="1">
      <c r="B677" s="327" t="s">
        <v>992</v>
      </c>
      <c r="C677" s="712"/>
      <c r="D677" s="17"/>
      <c r="E677" s="542">
        <f>'BS &amp; Notes 2014-15'!E711</f>
        <v>26462416</v>
      </c>
      <c r="F677" s="724"/>
      <c r="G677" s="552">
        <f>'BS &amp; Notes 2013-14'!E709</f>
        <v>0</v>
      </c>
    </row>
    <row r="678" spans="2:39" ht="11.25" thickBot="1">
      <c r="B678" s="72"/>
      <c r="C678" s="724"/>
      <c r="D678" s="17"/>
      <c r="E678" s="12"/>
      <c r="F678" s="724"/>
      <c r="G678" s="12"/>
    </row>
    <row r="679" spans="2:39" ht="11.25" thickBot="1">
      <c r="B679" s="509" t="s">
        <v>806</v>
      </c>
      <c r="C679" s="718"/>
      <c r="D679" s="544"/>
      <c r="E679" s="4">
        <f>SUM(E674:E678)</f>
        <v>170214269</v>
      </c>
      <c r="F679" s="715"/>
      <c r="G679" s="4">
        <f>SUM(G674:G678)</f>
        <v>0</v>
      </c>
    </row>
    <row r="681" spans="2:39" ht="11.25" customHeight="1">
      <c r="B681" s="1436" t="s">
        <v>263</v>
      </c>
      <c r="C681" s="1436"/>
      <c r="D681" s="1436"/>
      <c r="E681" s="1436"/>
      <c r="F681" s="1436"/>
      <c r="G681" s="1436"/>
    </row>
    <row r="683" spans="2:39" ht="11.25" customHeight="1">
      <c r="B683" s="1436" t="s">
        <v>264</v>
      </c>
      <c r="C683" s="1436"/>
      <c r="D683" s="1436"/>
      <c r="E683" s="1436"/>
      <c r="F683" s="1436"/>
      <c r="G683" s="1436"/>
    </row>
    <row r="685" spans="2:39" ht="31.5" customHeight="1">
      <c r="B685" s="1437" t="s">
        <v>934</v>
      </c>
      <c r="C685" s="1437"/>
      <c r="D685" s="1437"/>
      <c r="E685" s="1437"/>
      <c r="F685" s="1437"/>
      <c r="G685" s="1437"/>
    </row>
    <row r="687" spans="2:39">
      <c r="B687" s="70" t="s">
        <v>1178</v>
      </c>
    </row>
    <row r="688" spans="2:39" ht="12" thickBot="1">
      <c r="F688" s="1442" t="s">
        <v>247</v>
      </c>
      <c r="G688" s="1442"/>
      <c r="H688" s="719"/>
      <c r="I688" s="719"/>
      <c r="J688" s="301"/>
      <c r="K688" s="335"/>
      <c r="L688" s="301"/>
      <c r="M688" s="301"/>
      <c r="N688" s="301"/>
      <c r="O688" s="301"/>
      <c r="P688" s="301"/>
      <c r="Q688" s="301"/>
      <c r="R688" s="301"/>
      <c r="S688" s="301"/>
      <c r="T688" s="301"/>
      <c r="U688" s="301"/>
      <c r="V688" s="301"/>
      <c r="W688" s="301"/>
      <c r="X688" s="301"/>
      <c r="Y688" s="301"/>
      <c r="Z688" s="317"/>
      <c r="AA688" s="301"/>
      <c r="AB688" s="301"/>
      <c r="AC688" s="301"/>
      <c r="AD688" s="301"/>
      <c r="AE688" s="301"/>
      <c r="AF688" s="301"/>
      <c r="AG688" s="301"/>
      <c r="AH688" s="301"/>
      <c r="AI688" s="301"/>
      <c r="AJ688" s="301"/>
      <c r="AK688" s="301"/>
      <c r="AL688" s="301"/>
      <c r="AM688" s="301"/>
    </row>
    <row r="689" spans="2:49" ht="11.25" thickBot="1">
      <c r="B689" s="120"/>
      <c r="C689" s="19"/>
      <c r="D689" s="1431" t="s">
        <v>1231</v>
      </c>
      <c r="E689" s="1432"/>
      <c r="F689" s="1433" t="s">
        <v>1206</v>
      </c>
      <c r="G689" s="1432"/>
      <c r="H689" s="799"/>
      <c r="I689" s="800"/>
      <c r="J689" s="800"/>
      <c r="K689" s="800"/>
      <c r="L689" s="800"/>
      <c r="M689" s="800"/>
      <c r="N689" s="800"/>
      <c r="O689" s="800"/>
      <c r="P689" s="800"/>
      <c r="Q689" s="800"/>
      <c r="R689" s="800"/>
      <c r="S689" s="800"/>
      <c r="T689" s="800"/>
      <c r="U689" s="800"/>
      <c r="V689" s="800"/>
      <c r="W689" s="800"/>
      <c r="X689" s="800"/>
      <c r="Y689" s="800"/>
      <c r="Z689" s="800"/>
      <c r="AA689" s="800"/>
      <c r="AB689" s="800"/>
      <c r="AC689" s="800"/>
      <c r="AD689" s="800"/>
      <c r="AE689" s="800"/>
      <c r="AF689" s="800"/>
      <c r="AG689" s="800"/>
      <c r="AH689" s="800"/>
      <c r="AI689" s="800"/>
      <c r="AJ689" s="800"/>
      <c r="AK689" s="800"/>
      <c r="AL689" s="800"/>
      <c r="AM689" s="800"/>
      <c r="AN689" s="801"/>
      <c r="AO689" s="801"/>
      <c r="AP689" s="801"/>
      <c r="AQ689" s="801"/>
      <c r="AR689" s="801"/>
      <c r="AS689" s="801"/>
      <c r="AT689" s="801"/>
      <c r="AU689" s="801"/>
      <c r="AV689" s="801"/>
      <c r="AW689" s="801"/>
    </row>
    <row r="690" spans="2:49" ht="11.25" customHeight="1">
      <c r="B690" s="126" t="s">
        <v>266</v>
      </c>
      <c r="C690" s="543"/>
      <c r="D690" s="546"/>
      <c r="E690" s="543"/>
      <c r="F690" s="717"/>
      <c r="G690" s="543"/>
      <c r="H690" s="797"/>
      <c r="I690" s="798"/>
      <c r="J690" s="798"/>
      <c r="K690" s="798"/>
      <c r="L690" s="798"/>
      <c r="M690" s="798"/>
      <c r="N690" s="798"/>
      <c r="O690" s="798"/>
      <c r="P690" s="798"/>
      <c r="Q690" s="798"/>
      <c r="R690" s="798"/>
      <c r="S690" s="798"/>
      <c r="T690" s="798"/>
      <c r="U690" s="798"/>
      <c r="V690" s="798"/>
      <c r="W690" s="798"/>
      <c r="X690" s="798"/>
      <c r="Y690" s="798"/>
      <c r="Z690" s="341"/>
      <c r="AA690" s="798"/>
      <c r="AB690" s="798"/>
      <c r="AC690" s="798"/>
      <c r="AD690" s="798"/>
      <c r="AE690" s="798"/>
      <c r="AF690" s="798"/>
      <c r="AG690" s="798"/>
      <c r="AH690" s="798"/>
      <c r="AI690" s="798"/>
      <c r="AJ690" s="798"/>
      <c r="AK690" s="798"/>
      <c r="AL690" s="798"/>
      <c r="AM690" s="798"/>
      <c r="AN690" s="796"/>
      <c r="AO690" s="796"/>
      <c r="AP690" s="796"/>
      <c r="AQ690" s="796"/>
      <c r="AR690" s="796"/>
      <c r="AS690" s="796"/>
      <c r="AT690" s="796"/>
      <c r="AU690" s="796"/>
      <c r="AV690" s="796"/>
      <c r="AW690" s="796"/>
    </row>
    <row r="691" spans="2:49" ht="11.25">
      <c r="B691" s="119" t="s">
        <v>267</v>
      </c>
      <c r="C691" s="542"/>
      <c r="D691" s="17">
        <f>'BS &amp; Notes 2014-15'!D724</f>
        <v>4991723120</v>
      </c>
      <c r="E691" s="542"/>
      <c r="F691" s="551">
        <f>'BS &amp; Notes 2013-14'!D722</f>
        <v>0</v>
      </c>
      <c r="G691" s="542"/>
      <c r="H691" s="797"/>
      <c r="I691" s="798"/>
      <c r="J691" s="798"/>
      <c r="K691" s="798"/>
      <c r="L691" s="798"/>
      <c r="M691" s="798"/>
      <c r="N691" s="798"/>
      <c r="O691" s="798"/>
      <c r="P691" s="798"/>
      <c r="Q691" s="798"/>
      <c r="R691" s="798"/>
      <c r="S691" s="798"/>
      <c r="T691" s="798"/>
      <c r="U691" s="798"/>
      <c r="V691" s="798"/>
      <c r="W691" s="798"/>
      <c r="X691" s="798"/>
      <c r="Y691" s="798"/>
      <c r="Z691" s="341"/>
      <c r="AA691" s="798"/>
      <c r="AB691" s="798"/>
      <c r="AC691" s="798"/>
      <c r="AD691" s="798"/>
      <c r="AE691" s="798"/>
      <c r="AF691" s="798"/>
      <c r="AG691" s="798"/>
      <c r="AH691" s="798"/>
      <c r="AI691" s="798"/>
      <c r="AJ691" s="798"/>
      <c r="AK691" s="798"/>
      <c r="AL691" s="798"/>
      <c r="AM691" s="798"/>
      <c r="AN691" s="796"/>
      <c r="AO691" s="796"/>
      <c r="AP691" s="796"/>
      <c r="AQ691" s="796"/>
      <c r="AR691" s="796"/>
      <c r="AS691" s="796"/>
      <c r="AT691" s="796"/>
      <c r="AU691" s="796"/>
      <c r="AV691" s="796"/>
      <c r="AW691" s="796"/>
    </row>
    <row r="692" spans="2:49" ht="11.25">
      <c r="B692" s="119" t="s">
        <v>268</v>
      </c>
      <c r="C692" s="542"/>
      <c r="D692" s="17">
        <f>'BS &amp; Notes 2014-15'!D725</f>
        <v>161378</v>
      </c>
      <c r="E692" s="542"/>
      <c r="F692" s="551">
        <f>'BS &amp; Notes 2013-14'!D723</f>
        <v>0</v>
      </c>
      <c r="G692" s="542"/>
      <c r="H692" s="797"/>
      <c r="I692" s="798"/>
      <c r="J692" s="798"/>
      <c r="K692" s="798"/>
      <c r="L692" s="798"/>
      <c r="M692" s="798"/>
      <c r="N692" s="798"/>
      <c r="O692" s="798"/>
      <c r="P692" s="798"/>
      <c r="Q692" s="798"/>
      <c r="R692" s="798"/>
      <c r="S692" s="798"/>
      <c r="T692" s="798"/>
      <c r="U692" s="798"/>
      <c r="V692" s="798"/>
      <c r="W692" s="798"/>
      <c r="X692" s="798"/>
      <c r="Y692" s="798"/>
      <c r="Z692" s="341"/>
      <c r="AA692" s="798"/>
      <c r="AB692" s="798"/>
      <c r="AC692" s="798"/>
      <c r="AD692" s="798"/>
      <c r="AE692" s="798"/>
      <c r="AF692" s="798"/>
      <c r="AG692" s="798"/>
      <c r="AH692" s="798"/>
      <c r="AI692" s="798"/>
      <c r="AJ692" s="798"/>
      <c r="AK692" s="798"/>
      <c r="AL692" s="798"/>
      <c r="AM692" s="798"/>
      <c r="AN692" s="796"/>
      <c r="AO692" s="796"/>
      <c r="AP692" s="796"/>
      <c r="AQ692" s="796"/>
      <c r="AR692" s="796"/>
      <c r="AS692" s="796"/>
      <c r="AT692" s="796"/>
      <c r="AU692" s="796"/>
      <c r="AV692" s="796"/>
      <c r="AW692" s="796"/>
    </row>
    <row r="693" spans="2:49" ht="22.5" customHeight="1">
      <c r="B693" s="119" t="s">
        <v>269</v>
      </c>
      <c r="C693" s="542"/>
      <c r="D693" s="17">
        <f>'BS &amp; Notes 2014-15'!D726</f>
        <v>1059168410</v>
      </c>
      <c r="E693" s="542"/>
      <c r="F693" s="551">
        <f>'BS &amp; Notes 2013-14'!D724</f>
        <v>0</v>
      </c>
      <c r="G693" s="542"/>
      <c r="H693" s="797"/>
      <c r="I693" s="798"/>
      <c r="J693" s="798"/>
      <c r="K693" s="798"/>
      <c r="L693" s="798"/>
      <c r="M693" s="798"/>
      <c r="N693" s="798"/>
      <c r="O693" s="798"/>
      <c r="P693" s="798"/>
      <c r="Q693" s="798"/>
      <c r="R693" s="798"/>
      <c r="S693" s="798"/>
      <c r="T693" s="798"/>
      <c r="U693" s="798"/>
      <c r="V693" s="798"/>
      <c r="W693" s="798"/>
      <c r="X693" s="798"/>
      <c r="Y693" s="798"/>
      <c r="Z693" s="341"/>
      <c r="AA693" s="798"/>
      <c r="AB693" s="798"/>
      <c r="AC693" s="798"/>
      <c r="AD693" s="798"/>
      <c r="AE693" s="798"/>
      <c r="AF693" s="798"/>
      <c r="AG693" s="798"/>
      <c r="AH693" s="798"/>
      <c r="AI693" s="798"/>
      <c r="AJ693" s="798"/>
      <c r="AK693" s="798"/>
      <c r="AL693" s="798"/>
      <c r="AM693" s="798"/>
      <c r="AN693" s="796"/>
      <c r="AO693" s="796"/>
      <c r="AP693" s="796"/>
      <c r="AQ693" s="796"/>
      <c r="AR693" s="796"/>
      <c r="AS693" s="796"/>
      <c r="AT693" s="796"/>
      <c r="AU693" s="796"/>
      <c r="AV693" s="796"/>
      <c r="AW693" s="796"/>
    </row>
    <row r="694" spans="2:49" ht="11.25">
      <c r="B694" s="119" t="s">
        <v>270</v>
      </c>
      <c r="C694" s="542"/>
      <c r="D694" s="17">
        <f>'BS &amp; Notes 2014-15'!D727</f>
        <v>10573188</v>
      </c>
      <c r="E694" s="542"/>
      <c r="F694" s="551">
        <f>'BS &amp; Notes 2013-14'!D725</f>
        <v>0</v>
      </c>
      <c r="G694" s="542"/>
      <c r="H694" s="797"/>
      <c r="I694" s="798"/>
      <c r="J694" s="798"/>
      <c r="K694" s="798"/>
      <c r="L694" s="798"/>
      <c r="M694" s="798"/>
      <c r="N694" s="798"/>
      <c r="O694" s="798"/>
      <c r="P694" s="798"/>
      <c r="Q694" s="798"/>
      <c r="R694" s="798"/>
      <c r="S694" s="798"/>
      <c r="T694" s="798"/>
      <c r="U694" s="798"/>
      <c r="V694" s="798"/>
      <c r="W694" s="798"/>
      <c r="X694" s="798"/>
      <c r="Y694" s="798"/>
      <c r="Z694" s="341"/>
      <c r="AA694" s="798"/>
      <c r="AB694" s="798"/>
      <c r="AC694" s="798"/>
      <c r="AD694" s="798"/>
      <c r="AE694" s="798"/>
      <c r="AF694" s="798"/>
      <c r="AG694" s="798"/>
      <c r="AH694" s="798"/>
      <c r="AI694" s="798"/>
      <c r="AJ694" s="798"/>
      <c r="AK694" s="798"/>
      <c r="AL694" s="798"/>
      <c r="AM694" s="798"/>
      <c r="AN694" s="796"/>
      <c r="AO694" s="796"/>
      <c r="AP694" s="796"/>
      <c r="AQ694" s="796"/>
      <c r="AR694" s="796"/>
      <c r="AS694" s="796"/>
      <c r="AT694" s="796"/>
      <c r="AU694" s="796"/>
      <c r="AV694" s="796"/>
      <c r="AW694" s="796"/>
    </row>
    <row r="695" spans="2:49" ht="11.25">
      <c r="B695" s="119" t="s">
        <v>387</v>
      </c>
      <c r="C695" s="542"/>
      <c r="D695" s="17">
        <f>'BS &amp; Notes 2014-15'!D728</f>
        <v>41199281</v>
      </c>
      <c r="E695" s="542"/>
      <c r="F695" s="551">
        <f>'BS &amp; Notes 2013-14'!D726</f>
        <v>0</v>
      </c>
      <c r="G695" s="542"/>
      <c r="H695" s="797"/>
      <c r="I695" s="798"/>
      <c r="J695" s="798"/>
      <c r="K695" s="798"/>
      <c r="L695" s="798"/>
      <c r="M695" s="798"/>
      <c r="N695" s="798"/>
      <c r="O695" s="798"/>
      <c r="P695" s="798"/>
      <c r="Q695" s="798"/>
      <c r="R695" s="798"/>
      <c r="S695" s="798"/>
      <c r="T695" s="798"/>
      <c r="U695" s="798"/>
      <c r="V695" s="798"/>
      <c r="W695" s="798"/>
      <c r="X695" s="798"/>
      <c r="Y695" s="798"/>
      <c r="Z695" s="341"/>
      <c r="AA695" s="798"/>
      <c r="AB695" s="798"/>
      <c r="AC695" s="798"/>
      <c r="AD695" s="798"/>
      <c r="AE695" s="798"/>
      <c r="AF695" s="798"/>
      <c r="AG695" s="798"/>
      <c r="AH695" s="798"/>
      <c r="AI695" s="798"/>
      <c r="AJ695" s="798"/>
      <c r="AK695" s="798"/>
      <c r="AL695" s="798"/>
      <c r="AM695" s="798"/>
      <c r="AN695" s="796"/>
      <c r="AO695" s="796"/>
      <c r="AP695" s="796"/>
      <c r="AQ695" s="796"/>
      <c r="AR695" s="796"/>
      <c r="AS695" s="796"/>
      <c r="AT695" s="796"/>
      <c r="AU695" s="796"/>
      <c r="AV695" s="796"/>
      <c r="AW695" s="796"/>
    </row>
    <row r="696" spans="2:49" ht="11.25">
      <c r="B696" s="119" t="s">
        <v>271</v>
      </c>
      <c r="C696" s="542"/>
      <c r="D696" s="17">
        <f>'BS &amp; Notes 2014-15'!D729</f>
        <v>3783781967</v>
      </c>
      <c r="E696" s="542"/>
      <c r="F696" s="551">
        <f>'BS &amp; Notes 2013-14'!D727</f>
        <v>0</v>
      </c>
      <c r="G696" s="542"/>
      <c r="H696" s="797"/>
      <c r="I696" s="798"/>
      <c r="J696" s="798"/>
      <c r="K696" s="798"/>
      <c r="L696" s="798"/>
      <c r="M696" s="798"/>
      <c r="N696" s="798"/>
      <c r="O696" s="798"/>
      <c r="P696" s="798"/>
      <c r="Q696" s="798"/>
      <c r="R696" s="798"/>
      <c r="S696" s="798"/>
      <c r="T696" s="798"/>
      <c r="U696" s="798"/>
      <c r="V696" s="798"/>
      <c r="W696" s="798"/>
      <c r="X696" s="798"/>
      <c r="Y696" s="798"/>
      <c r="Z696" s="341"/>
      <c r="AA696" s="798"/>
      <c r="AB696" s="798"/>
      <c r="AC696" s="798"/>
      <c r="AD696" s="798"/>
      <c r="AE696" s="798"/>
      <c r="AF696" s="798"/>
      <c r="AG696" s="798"/>
      <c r="AH696" s="798"/>
      <c r="AI696" s="798"/>
      <c r="AJ696" s="798"/>
      <c r="AK696" s="798"/>
      <c r="AL696" s="798"/>
      <c r="AM696" s="798"/>
      <c r="AN696" s="796"/>
      <c r="AO696" s="796"/>
      <c r="AP696" s="796"/>
      <c r="AQ696" s="796"/>
      <c r="AR696" s="796"/>
      <c r="AS696" s="796"/>
      <c r="AT696" s="796"/>
      <c r="AU696" s="796"/>
      <c r="AV696" s="796"/>
      <c r="AW696" s="796"/>
    </row>
    <row r="697" spans="2:49" ht="11.25">
      <c r="B697" s="119" t="s">
        <v>272</v>
      </c>
      <c r="C697" s="542"/>
      <c r="D697" s="17">
        <f>'BS &amp; Notes 2014-15'!D730</f>
        <v>7634421</v>
      </c>
      <c r="E697" s="542"/>
      <c r="F697" s="551">
        <f>'BS &amp; Notes 2013-14'!D728</f>
        <v>0</v>
      </c>
      <c r="G697" s="542"/>
      <c r="H697" s="797"/>
      <c r="I697" s="798"/>
      <c r="J697" s="798"/>
      <c r="K697" s="798"/>
      <c r="L697" s="798"/>
      <c r="M697" s="798"/>
      <c r="N697" s="798"/>
      <c r="O697" s="798"/>
      <c r="P697" s="798"/>
      <c r="Q697" s="798"/>
      <c r="R697" s="798"/>
      <c r="S697" s="798"/>
      <c r="T697" s="798"/>
      <c r="U697" s="798"/>
      <c r="V697" s="798"/>
      <c r="W697" s="798"/>
      <c r="X697" s="798"/>
      <c r="Y697" s="798"/>
      <c r="Z697" s="341"/>
      <c r="AA697" s="798"/>
      <c r="AB697" s="798"/>
      <c r="AC697" s="798"/>
      <c r="AD697" s="798"/>
      <c r="AE697" s="798"/>
      <c r="AF697" s="798"/>
      <c r="AG697" s="798"/>
      <c r="AH697" s="798"/>
      <c r="AI697" s="798"/>
      <c r="AJ697" s="798"/>
      <c r="AK697" s="798"/>
      <c r="AL697" s="798"/>
      <c r="AM697" s="798"/>
      <c r="AN697" s="796"/>
      <c r="AO697" s="796"/>
      <c r="AP697" s="796"/>
      <c r="AQ697" s="796"/>
      <c r="AR697" s="796"/>
      <c r="AS697" s="796"/>
      <c r="AT697" s="796"/>
      <c r="AU697" s="796"/>
      <c r="AV697" s="796"/>
      <c r="AW697" s="796"/>
    </row>
    <row r="698" spans="2:49" ht="11.25">
      <c r="B698" s="119" t="s">
        <v>273</v>
      </c>
      <c r="C698" s="542"/>
      <c r="D698" s="17">
        <f>'BS &amp; Notes 2014-15'!D731</f>
        <v>6919231</v>
      </c>
      <c r="E698" s="542"/>
      <c r="F698" s="551">
        <f>'BS &amp; Notes 2013-14'!D729</f>
        <v>0</v>
      </c>
      <c r="G698" s="542"/>
      <c r="H698" s="797"/>
      <c r="I698" s="798"/>
      <c r="J698" s="798"/>
      <c r="K698" s="798"/>
      <c r="L698" s="798"/>
      <c r="M698" s="798"/>
      <c r="N698" s="798"/>
      <c r="O698" s="798"/>
      <c r="P698" s="798"/>
      <c r="Q698" s="798"/>
      <c r="R698" s="798"/>
      <c r="S698" s="798"/>
      <c r="T698" s="798"/>
      <c r="U698" s="798"/>
      <c r="V698" s="798"/>
      <c r="W698" s="798"/>
      <c r="X698" s="798"/>
      <c r="Y698" s="798"/>
      <c r="Z698" s="341"/>
      <c r="AA698" s="798"/>
      <c r="AB698" s="798"/>
      <c r="AC698" s="798"/>
      <c r="AD698" s="798"/>
      <c r="AE698" s="798"/>
      <c r="AF698" s="798"/>
      <c r="AG698" s="798"/>
      <c r="AH698" s="798"/>
      <c r="AI698" s="798"/>
      <c r="AJ698" s="798"/>
      <c r="AK698" s="798"/>
      <c r="AL698" s="798"/>
      <c r="AM698" s="798"/>
      <c r="AN698" s="796"/>
      <c r="AO698" s="796"/>
      <c r="AP698" s="796"/>
      <c r="AQ698" s="796"/>
      <c r="AR698" s="796"/>
      <c r="AS698" s="796"/>
      <c r="AT698" s="796"/>
      <c r="AU698" s="796"/>
      <c r="AV698" s="796"/>
      <c r="AW698" s="796"/>
    </row>
    <row r="699" spans="2:49" ht="11.25">
      <c r="B699" s="119" t="s">
        <v>274</v>
      </c>
      <c r="C699" s="542"/>
      <c r="D699" s="17">
        <f>'BS &amp; Notes 2014-15'!D732</f>
        <v>14177440</v>
      </c>
      <c r="E699" s="542"/>
      <c r="F699" s="551">
        <f>'BS &amp; Notes 2013-14'!D730</f>
        <v>0</v>
      </c>
      <c r="G699" s="542"/>
      <c r="H699" s="797"/>
      <c r="I699" s="798"/>
      <c r="J699" s="798"/>
      <c r="K699" s="798"/>
      <c r="L699" s="798"/>
      <c r="M699" s="798"/>
      <c r="N699" s="798"/>
      <c r="O699" s="798"/>
      <c r="P699" s="798"/>
      <c r="Q699" s="798"/>
      <c r="R699" s="798"/>
      <c r="S699" s="798"/>
      <c r="T699" s="798"/>
      <c r="U699" s="798"/>
      <c r="V699" s="798"/>
      <c r="W699" s="798"/>
      <c r="X699" s="798"/>
      <c r="Y699" s="798"/>
      <c r="Z699" s="341"/>
      <c r="AA699" s="798"/>
      <c r="AB699" s="798"/>
      <c r="AC699" s="798"/>
      <c r="AD699" s="798"/>
      <c r="AE699" s="798"/>
      <c r="AF699" s="798"/>
      <c r="AG699" s="798"/>
      <c r="AH699" s="798"/>
      <c r="AI699" s="798"/>
      <c r="AJ699" s="798"/>
      <c r="AK699" s="798"/>
      <c r="AL699" s="798"/>
      <c r="AM699" s="798"/>
      <c r="AN699" s="796"/>
      <c r="AO699" s="796"/>
      <c r="AP699" s="796"/>
      <c r="AQ699" s="796"/>
      <c r="AR699" s="796"/>
      <c r="AS699" s="796"/>
      <c r="AT699" s="796"/>
      <c r="AU699" s="796"/>
      <c r="AV699" s="796"/>
      <c r="AW699" s="796"/>
    </row>
    <row r="700" spans="2:49" ht="11.25">
      <c r="B700" s="119" t="s">
        <v>600</v>
      </c>
      <c r="C700" s="542"/>
      <c r="D700" s="17">
        <f>+'BS &amp; Notes 2014-15'!D733</f>
        <v>8183220</v>
      </c>
      <c r="E700" s="542"/>
      <c r="F700" s="551">
        <f>'BS &amp; Notes 2013-14'!D731</f>
        <v>0</v>
      </c>
      <c r="G700" s="542"/>
      <c r="H700" s="797"/>
      <c r="I700" s="798"/>
      <c r="J700" s="798"/>
      <c r="K700" s="798"/>
      <c r="L700" s="798"/>
      <c r="M700" s="798"/>
      <c r="N700" s="798"/>
      <c r="O700" s="798"/>
      <c r="P700" s="798"/>
      <c r="Q700" s="798"/>
      <c r="R700" s="798"/>
      <c r="S700" s="798"/>
      <c r="T700" s="798"/>
      <c r="U700" s="798"/>
      <c r="V700" s="798"/>
      <c r="W700" s="798"/>
      <c r="X700" s="798"/>
      <c r="Y700" s="798"/>
      <c r="Z700" s="341"/>
      <c r="AA700" s="798"/>
      <c r="AB700" s="798"/>
      <c r="AC700" s="798"/>
      <c r="AD700" s="798"/>
      <c r="AE700" s="798"/>
      <c r="AF700" s="798"/>
      <c r="AG700" s="798"/>
      <c r="AH700" s="798"/>
      <c r="AI700" s="798"/>
      <c r="AJ700" s="798"/>
      <c r="AK700" s="798"/>
      <c r="AL700" s="798"/>
      <c r="AM700" s="798"/>
      <c r="AN700" s="796"/>
      <c r="AO700" s="796"/>
      <c r="AP700" s="796"/>
      <c r="AQ700" s="796"/>
      <c r="AR700" s="796"/>
      <c r="AS700" s="796"/>
      <c r="AT700" s="796"/>
      <c r="AU700" s="796"/>
      <c r="AV700" s="796"/>
      <c r="AW700" s="796"/>
    </row>
    <row r="701" spans="2:49" ht="21.75" thickBot="1">
      <c r="B701" s="364" t="s">
        <v>275</v>
      </c>
      <c r="C701" s="542"/>
      <c r="D701" s="544">
        <f>+'BS &amp; Notes 2014-15'!D734</f>
        <v>667831</v>
      </c>
      <c r="E701" s="542">
        <f>+SUM(D691:D701)</f>
        <v>9924189487</v>
      </c>
      <c r="F701" s="553">
        <f>'BS &amp; Notes 2013-14'!D732</f>
        <v>0</v>
      </c>
      <c r="G701" s="542">
        <f>+SUM(F691:F701)</f>
        <v>0</v>
      </c>
      <c r="H701" s="797"/>
      <c r="I701" s="798"/>
      <c r="J701" s="798"/>
      <c r="K701" s="798"/>
      <c r="L701" s="798"/>
      <c r="M701" s="798"/>
      <c r="N701" s="798"/>
      <c r="O701" s="798"/>
      <c r="P701" s="798"/>
      <c r="Q701" s="798"/>
      <c r="R701" s="798"/>
      <c r="S701" s="798"/>
      <c r="T701" s="798"/>
      <c r="U701" s="798"/>
      <c r="V701" s="798"/>
      <c r="W701" s="798"/>
      <c r="X701" s="798"/>
      <c r="Y701" s="798"/>
      <c r="Z701" s="798"/>
      <c r="AA701" s="798"/>
      <c r="AB701" s="798"/>
      <c r="AC701" s="798"/>
      <c r="AD701" s="798"/>
      <c r="AE701" s="798"/>
      <c r="AF701" s="798"/>
      <c r="AG701" s="798"/>
      <c r="AH701" s="798"/>
      <c r="AI701" s="798"/>
      <c r="AJ701" s="798"/>
      <c r="AK701" s="798"/>
      <c r="AL701" s="798"/>
      <c r="AM701" s="798"/>
      <c r="AN701" s="796"/>
      <c r="AO701" s="796"/>
      <c r="AP701" s="796"/>
      <c r="AQ701" s="796"/>
      <c r="AR701" s="796"/>
      <c r="AS701" s="796"/>
      <c r="AT701" s="796"/>
      <c r="AU701" s="796"/>
      <c r="AV701" s="796"/>
      <c r="AW701" s="796"/>
    </row>
    <row r="702" spans="2:49" ht="11.25">
      <c r="B702" s="96"/>
      <c r="C702" s="542"/>
      <c r="D702" s="17"/>
      <c r="E702" s="542"/>
      <c r="F702" s="17"/>
      <c r="G702" s="542"/>
      <c r="H702" s="797"/>
      <c r="I702" s="798"/>
      <c r="J702" s="798"/>
      <c r="K702" s="798"/>
      <c r="L702" s="798"/>
      <c r="M702" s="798"/>
      <c r="N702" s="798"/>
      <c r="O702" s="798"/>
      <c r="P702" s="798"/>
      <c r="Q702" s="798"/>
      <c r="R702" s="798"/>
      <c r="S702" s="798"/>
      <c r="T702" s="798"/>
      <c r="U702" s="798"/>
      <c r="V702" s="798"/>
      <c r="W702" s="798"/>
      <c r="X702" s="798"/>
      <c r="Y702" s="798"/>
      <c r="Z702" s="341"/>
      <c r="AA702" s="798"/>
      <c r="AB702" s="798"/>
      <c r="AC702" s="798"/>
      <c r="AD702" s="798"/>
      <c r="AE702" s="798"/>
      <c r="AF702" s="798"/>
      <c r="AG702" s="798"/>
      <c r="AH702" s="798"/>
      <c r="AI702" s="798"/>
      <c r="AJ702" s="798"/>
      <c r="AK702" s="798"/>
      <c r="AL702" s="798"/>
      <c r="AM702" s="798"/>
      <c r="AN702" s="796"/>
      <c r="AO702" s="796"/>
      <c r="AP702" s="796"/>
      <c r="AQ702" s="796"/>
      <c r="AR702" s="796"/>
      <c r="AS702" s="796"/>
      <c r="AT702" s="796"/>
      <c r="AU702" s="796"/>
      <c r="AV702" s="796"/>
      <c r="AW702" s="796"/>
    </row>
    <row r="703" spans="2:49" ht="11.25">
      <c r="B703" s="130" t="s">
        <v>276</v>
      </c>
      <c r="C703" s="542"/>
      <c r="D703" s="17"/>
      <c r="E703" s="542"/>
      <c r="F703" s="17"/>
      <c r="G703" s="542"/>
      <c r="H703" s="797"/>
      <c r="I703" s="798"/>
      <c r="J703" s="798"/>
      <c r="K703" s="798"/>
      <c r="L703" s="798"/>
      <c r="M703" s="798"/>
      <c r="N703" s="798"/>
      <c r="O703" s="798"/>
      <c r="P703" s="798"/>
      <c r="Q703" s="798"/>
      <c r="R703" s="798"/>
      <c r="S703" s="798"/>
      <c r="T703" s="798"/>
      <c r="U703" s="798"/>
      <c r="V703" s="798"/>
      <c r="W703" s="798"/>
      <c r="X703" s="798"/>
      <c r="Y703" s="798"/>
      <c r="Z703" s="341"/>
      <c r="AA703" s="798"/>
      <c r="AB703" s="798"/>
      <c r="AC703" s="798"/>
      <c r="AD703" s="798"/>
      <c r="AE703" s="798"/>
      <c r="AF703" s="798"/>
      <c r="AG703" s="798"/>
      <c r="AH703" s="798"/>
      <c r="AI703" s="798"/>
      <c r="AJ703" s="798"/>
      <c r="AK703" s="798"/>
      <c r="AL703" s="798"/>
      <c r="AM703" s="798"/>
      <c r="AN703" s="796"/>
      <c r="AO703" s="796"/>
      <c r="AP703" s="796"/>
      <c r="AQ703" s="796"/>
      <c r="AR703" s="796"/>
      <c r="AS703" s="796"/>
      <c r="AT703" s="796"/>
      <c r="AU703" s="796"/>
      <c r="AV703" s="796"/>
      <c r="AW703" s="796"/>
    </row>
    <row r="704" spans="2:49" ht="11.25">
      <c r="B704" s="364" t="s">
        <v>277</v>
      </c>
      <c r="C704" s="542"/>
      <c r="D704" s="17">
        <f>+'BS &amp; Notes 2014-15'!D737</f>
        <v>302458</v>
      </c>
      <c r="E704" s="542"/>
      <c r="F704" s="551">
        <f>'BS &amp; Notes 2013-14'!D735</f>
        <v>0</v>
      </c>
      <c r="G704" s="542"/>
      <c r="H704" s="797"/>
      <c r="I704" s="798"/>
      <c r="J704" s="798"/>
      <c r="K704" s="798"/>
      <c r="L704" s="798"/>
      <c r="M704" s="798"/>
      <c r="N704" s="798"/>
      <c r="O704" s="798"/>
      <c r="P704" s="798"/>
      <c r="Q704" s="798"/>
      <c r="R704" s="798"/>
      <c r="S704" s="798"/>
      <c r="T704" s="798"/>
      <c r="U704" s="798"/>
      <c r="V704" s="798"/>
      <c r="W704" s="798"/>
      <c r="X704" s="798"/>
      <c r="Y704" s="798"/>
      <c r="Z704" s="341"/>
      <c r="AA704" s="798"/>
      <c r="AB704" s="798"/>
      <c r="AC704" s="798"/>
      <c r="AD704" s="798"/>
      <c r="AE704" s="798"/>
      <c r="AF704" s="798"/>
      <c r="AG704" s="798"/>
      <c r="AH704" s="798"/>
      <c r="AI704" s="798"/>
      <c r="AJ704" s="798"/>
      <c r="AK704" s="798"/>
      <c r="AL704" s="798"/>
      <c r="AM704" s="798"/>
      <c r="AN704" s="796"/>
      <c r="AO704" s="796"/>
      <c r="AP704" s="796"/>
      <c r="AQ704" s="796"/>
      <c r="AR704" s="796"/>
      <c r="AS704" s="796"/>
      <c r="AT704" s="796"/>
      <c r="AU704" s="796"/>
      <c r="AV704" s="796"/>
      <c r="AW704" s="796"/>
    </row>
    <row r="705" spans="2:49" ht="11.25">
      <c r="B705" s="364" t="s">
        <v>278</v>
      </c>
      <c r="C705" s="542"/>
      <c r="D705" s="17">
        <f>+'BS &amp; Notes 2014-15'!D738</f>
        <v>1668648</v>
      </c>
      <c r="E705" s="542"/>
      <c r="F705" s="551">
        <f>'BS &amp; Notes 2013-14'!D736</f>
        <v>0</v>
      </c>
      <c r="G705" s="542"/>
      <c r="H705" s="797"/>
      <c r="I705" s="798"/>
      <c r="J705" s="798"/>
      <c r="K705" s="798"/>
      <c r="L705" s="798"/>
      <c r="M705" s="798"/>
      <c r="N705" s="798"/>
      <c r="O705" s="798"/>
      <c r="P705" s="798"/>
      <c r="Q705" s="798"/>
      <c r="R705" s="798"/>
      <c r="S705" s="798"/>
      <c r="T705" s="798"/>
      <c r="U705" s="798"/>
      <c r="V705" s="798"/>
      <c r="W705" s="798"/>
      <c r="X705" s="798"/>
      <c r="Y705" s="798"/>
      <c r="Z705" s="341"/>
      <c r="AA705" s="798"/>
      <c r="AB705" s="798"/>
      <c r="AC705" s="798"/>
      <c r="AD705" s="798"/>
      <c r="AE705" s="798"/>
      <c r="AF705" s="798"/>
      <c r="AG705" s="798"/>
      <c r="AH705" s="798"/>
      <c r="AI705" s="798"/>
      <c r="AJ705" s="798"/>
      <c r="AK705" s="798"/>
      <c r="AL705" s="798"/>
      <c r="AM705" s="798"/>
      <c r="AN705" s="796"/>
      <c r="AO705" s="796"/>
      <c r="AP705" s="796"/>
      <c r="AQ705" s="796"/>
      <c r="AR705" s="796"/>
      <c r="AS705" s="796"/>
      <c r="AT705" s="796"/>
      <c r="AU705" s="796"/>
      <c r="AV705" s="796"/>
      <c r="AW705" s="796"/>
    </row>
    <row r="706" spans="2:49" ht="11.25">
      <c r="B706" s="364" t="s">
        <v>279</v>
      </c>
      <c r="C706" s="542"/>
      <c r="D706" s="17">
        <f>+'BS &amp; Notes 2014-15'!D739</f>
        <v>26170014</v>
      </c>
      <c r="E706" s="542"/>
      <c r="F706" s="551">
        <f>'BS &amp; Notes 2013-14'!D737</f>
        <v>0</v>
      </c>
      <c r="G706" s="542"/>
      <c r="H706" s="797"/>
      <c r="I706" s="798"/>
      <c r="J706" s="798"/>
      <c r="K706" s="798"/>
      <c r="L706" s="798"/>
      <c r="M706" s="798"/>
      <c r="N706" s="798"/>
      <c r="O706" s="798"/>
      <c r="P706" s="798"/>
      <c r="Q706" s="798"/>
      <c r="R706" s="798"/>
      <c r="S706" s="798"/>
      <c r="T706" s="798"/>
      <c r="U706" s="798"/>
      <c r="V706" s="798"/>
      <c r="W706" s="798"/>
      <c r="X706" s="798"/>
      <c r="Y706" s="798"/>
      <c r="Z706" s="341"/>
      <c r="AA706" s="798"/>
      <c r="AB706" s="798"/>
      <c r="AC706" s="798"/>
      <c r="AD706" s="798"/>
      <c r="AE706" s="798"/>
      <c r="AF706" s="798"/>
      <c r="AG706" s="798"/>
      <c r="AH706" s="798"/>
      <c r="AI706" s="798"/>
      <c r="AJ706" s="798"/>
      <c r="AK706" s="798"/>
      <c r="AL706" s="798"/>
      <c r="AM706" s="798"/>
      <c r="AN706" s="796"/>
      <c r="AO706" s="796"/>
      <c r="AP706" s="796"/>
      <c r="AQ706" s="796"/>
      <c r="AR706" s="796"/>
      <c r="AS706" s="796"/>
      <c r="AT706" s="796"/>
      <c r="AU706" s="796"/>
      <c r="AV706" s="796"/>
      <c r="AW706" s="796"/>
    </row>
    <row r="707" spans="2:49" ht="11.25">
      <c r="B707" s="364" t="s">
        <v>993</v>
      </c>
      <c r="C707" s="542"/>
      <c r="D707" s="17">
        <f>+'BS &amp; Notes 2014-15'!D740</f>
        <v>17251350</v>
      </c>
      <c r="E707" s="542"/>
      <c r="F707" s="551">
        <f>'BS &amp; Notes 2013-14'!D738</f>
        <v>0</v>
      </c>
      <c r="G707" s="542"/>
      <c r="H707" s="797"/>
      <c r="I707" s="798"/>
      <c r="J707" s="798"/>
      <c r="K707" s="798"/>
      <c r="L707" s="798"/>
      <c r="M707" s="798"/>
      <c r="N707" s="798"/>
      <c r="O707" s="798"/>
      <c r="P707" s="798"/>
      <c r="Q707" s="798"/>
      <c r="R707" s="798"/>
      <c r="S707" s="798"/>
      <c r="T707" s="798"/>
      <c r="U707" s="798"/>
      <c r="V707" s="798"/>
      <c r="W707" s="798"/>
      <c r="X707" s="798"/>
      <c r="Y707" s="798"/>
      <c r="Z707" s="341"/>
      <c r="AA707" s="798"/>
      <c r="AB707" s="798"/>
      <c r="AC707" s="798"/>
      <c r="AD707" s="798"/>
      <c r="AE707" s="798"/>
      <c r="AF707" s="798"/>
      <c r="AG707" s="798"/>
      <c r="AH707" s="798"/>
      <c r="AI707" s="798"/>
      <c r="AJ707" s="798"/>
      <c r="AK707" s="798"/>
      <c r="AL707" s="798"/>
      <c r="AM707" s="798"/>
      <c r="AN707" s="796"/>
      <c r="AO707" s="796"/>
      <c r="AP707" s="796"/>
      <c r="AQ707" s="796"/>
      <c r="AR707" s="796"/>
      <c r="AS707" s="796"/>
      <c r="AT707" s="796"/>
      <c r="AU707" s="796"/>
      <c r="AV707" s="796"/>
      <c r="AW707" s="796"/>
    </row>
    <row r="708" spans="2:49" ht="11.25">
      <c r="B708" s="364" t="s">
        <v>272</v>
      </c>
      <c r="C708" s="542"/>
      <c r="D708" s="17">
        <f>+'BS &amp; Notes 2014-15'!D741</f>
        <v>1091605</v>
      </c>
      <c r="E708" s="542"/>
      <c r="F708" s="551">
        <f>'BS &amp; Notes 2013-14'!D739</f>
        <v>0</v>
      </c>
      <c r="G708" s="542"/>
      <c r="H708" s="797"/>
      <c r="I708" s="798"/>
      <c r="J708" s="798"/>
      <c r="K708" s="798"/>
      <c r="L708" s="798"/>
      <c r="M708" s="798"/>
      <c r="N708" s="798"/>
      <c r="O708" s="798"/>
      <c r="P708" s="798"/>
      <c r="Q708" s="798"/>
      <c r="R708" s="798"/>
      <c r="S708" s="798"/>
      <c r="T708" s="798"/>
      <c r="U708" s="798"/>
      <c r="V708" s="798"/>
      <c r="W708" s="798"/>
      <c r="X708" s="798"/>
      <c r="Y708" s="798"/>
      <c r="Z708" s="341"/>
      <c r="AA708" s="798"/>
      <c r="AB708" s="798"/>
      <c r="AC708" s="798"/>
      <c r="AD708" s="798"/>
      <c r="AE708" s="798"/>
      <c r="AF708" s="798"/>
      <c r="AG708" s="798"/>
      <c r="AH708" s="798"/>
      <c r="AI708" s="798"/>
      <c r="AJ708" s="798"/>
      <c r="AK708" s="798"/>
      <c r="AL708" s="798"/>
      <c r="AM708" s="798"/>
      <c r="AN708" s="796"/>
      <c r="AO708" s="796"/>
      <c r="AP708" s="796"/>
      <c r="AQ708" s="796"/>
      <c r="AR708" s="796"/>
      <c r="AS708" s="796"/>
      <c r="AT708" s="796"/>
      <c r="AU708" s="796"/>
      <c r="AV708" s="796"/>
      <c r="AW708" s="796"/>
    </row>
    <row r="709" spans="2:49" ht="11.25">
      <c r="B709" s="364" t="s">
        <v>280</v>
      </c>
      <c r="C709" s="542"/>
      <c r="D709" s="17">
        <f>+'BS &amp; Notes 2014-15'!D742</f>
        <v>47313754</v>
      </c>
      <c r="E709" s="542"/>
      <c r="F709" s="551">
        <f>'BS &amp; Notes 2013-14'!D740</f>
        <v>0</v>
      </c>
      <c r="G709" s="542"/>
      <c r="H709" s="797"/>
      <c r="I709" s="798"/>
      <c r="J709" s="798"/>
      <c r="K709" s="798"/>
      <c r="L709" s="798"/>
      <c r="M709" s="798"/>
      <c r="N709" s="798"/>
      <c r="O709" s="798"/>
      <c r="P709" s="798"/>
      <c r="Q709" s="798"/>
      <c r="R709" s="798"/>
      <c r="S709" s="798"/>
      <c r="T709" s="798"/>
      <c r="U709" s="798"/>
      <c r="V709" s="798"/>
      <c r="W709" s="798"/>
      <c r="X709" s="798"/>
      <c r="Y709" s="798"/>
      <c r="Z709" s="341"/>
      <c r="AA709" s="798"/>
      <c r="AB709" s="798"/>
      <c r="AC709" s="798"/>
      <c r="AD709" s="798"/>
      <c r="AE709" s="798"/>
      <c r="AF709" s="798"/>
      <c r="AG709" s="798"/>
      <c r="AH709" s="798"/>
      <c r="AI709" s="798"/>
      <c r="AJ709" s="798"/>
      <c r="AK709" s="798"/>
      <c r="AL709" s="798"/>
      <c r="AM709" s="798"/>
      <c r="AN709" s="796"/>
      <c r="AO709" s="796"/>
      <c r="AP709" s="796"/>
      <c r="AQ709" s="796"/>
      <c r="AR709" s="796"/>
      <c r="AS709" s="796"/>
      <c r="AT709" s="796"/>
      <c r="AU709" s="796"/>
      <c r="AV709" s="796"/>
      <c r="AW709" s="796"/>
    </row>
    <row r="710" spans="2:49" ht="11.25">
      <c r="B710" s="364" t="s">
        <v>281</v>
      </c>
      <c r="C710" s="542"/>
      <c r="D710" s="17">
        <f>+'BS &amp; Notes 2014-15'!D743</f>
        <v>784075</v>
      </c>
      <c r="E710" s="542"/>
      <c r="F710" s="551">
        <f>'BS &amp; Notes 2013-14'!D741</f>
        <v>0</v>
      </c>
      <c r="G710" s="542"/>
      <c r="H710" s="797"/>
      <c r="I710" s="798"/>
      <c r="J710" s="798"/>
      <c r="K710" s="798"/>
      <c r="L710" s="798"/>
      <c r="M710" s="798"/>
      <c r="N710" s="798"/>
      <c r="O710" s="798"/>
      <c r="P710" s="798"/>
      <c r="Q710" s="798"/>
      <c r="R710" s="798"/>
      <c r="S710" s="798"/>
      <c r="T710" s="798"/>
      <c r="U710" s="798"/>
      <c r="V710" s="798"/>
      <c r="W710" s="798"/>
      <c r="X710" s="798"/>
      <c r="Y710" s="798"/>
      <c r="Z710" s="341"/>
      <c r="AA710" s="798"/>
      <c r="AB710" s="798"/>
      <c r="AC710" s="798"/>
      <c r="AD710" s="798"/>
      <c r="AE710" s="798"/>
      <c r="AF710" s="798"/>
      <c r="AG710" s="798"/>
      <c r="AH710" s="798"/>
      <c r="AI710" s="798"/>
      <c r="AJ710" s="798"/>
      <c r="AK710" s="798"/>
      <c r="AL710" s="798"/>
      <c r="AM710" s="798"/>
      <c r="AN710" s="796"/>
      <c r="AO710" s="796"/>
      <c r="AP710" s="796"/>
      <c r="AQ710" s="796"/>
      <c r="AR710" s="796"/>
      <c r="AS710" s="796"/>
      <c r="AT710" s="796"/>
      <c r="AU710" s="796"/>
      <c r="AV710" s="796"/>
      <c r="AW710" s="796"/>
    </row>
    <row r="711" spans="2:49" ht="11.25">
      <c r="B711" s="364" t="s">
        <v>994</v>
      </c>
      <c r="C711" s="542"/>
      <c r="D711" s="17">
        <f>+'BS &amp; Notes 2014-15'!D744</f>
        <v>25781594</v>
      </c>
      <c r="E711" s="542"/>
      <c r="F711" s="551">
        <f>'BS &amp; Notes 2013-14'!D742</f>
        <v>0</v>
      </c>
      <c r="G711" s="542"/>
      <c r="H711" s="797"/>
      <c r="I711" s="798"/>
      <c r="J711" s="798"/>
      <c r="K711" s="798"/>
      <c r="L711" s="798"/>
      <c r="M711" s="798"/>
      <c r="N711" s="798"/>
      <c r="O711" s="798"/>
      <c r="P711" s="798"/>
      <c r="Q711" s="798"/>
      <c r="R711" s="798"/>
      <c r="S711" s="798"/>
      <c r="T711" s="798"/>
      <c r="U711" s="798"/>
      <c r="V711" s="798"/>
      <c r="W711" s="798"/>
      <c r="X711" s="798"/>
      <c r="Y711" s="798"/>
      <c r="Z711" s="341"/>
      <c r="AA711" s="798"/>
      <c r="AB711" s="798"/>
      <c r="AC711" s="798"/>
      <c r="AD711" s="798"/>
      <c r="AE711" s="798"/>
      <c r="AF711" s="798"/>
      <c r="AG711" s="798"/>
      <c r="AH711" s="798"/>
      <c r="AI711" s="798"/>
      <c r="AJ711" s="798"/>
      <c r="AK711" s="798"/>
      <c r="AL711" s="798"/>
      <c r="AM711" s="798"/>
      <c r="AN711" s="796"/>
      <c r="AO711" s="796"/>
      <c r="AP711" s="796"/>
      <c r="AQ711" s="796"/>
      <c r="AR711" s="796"/>
      <c r="AS711" s="796"/>
      <c r="AT711" s="796"/>
      <c r="AU711" s="796"/>
      <c r="AV711" s="796"/>
      <c r="AW711" s="796"/>
    </row>
    <row r="712" spans="2:49" ht="11.25">
      <c r="B712" s="364" t="s">
        <v>995</v>
      </c>
      <c r="C712" s="542"/>
      <c r="D712" s="17">
        <f>+'BS &amp; Notes 2014-15'!D745</f>
        <v>16562190</v>
      </c>
      <c r="E712" s="542"/>
      <c r="F712" s="551">
        <f>'BS &amp; Notes 2013-14'!D743</f>
        <v>0</v>
      </c>
      <c r="G712" s="542"/>
      <c r="H712" s="797"/>
      <c r="I712" s="798"/>
      <c r="J712" s="798"/>
      <c r="K712" s="798"/>
      <c r="L712" s="798"/>
      <c r="M712" s="798"/>
      <c r="N712" s="798"/>
      <c r="O712" s="798"/>
      <c r="P712" s="798"/>
      <c r="Q712" s="798"/>
      <c r="R712" s="798"/>
      <c r="S712" s="798"/>
      <c r="T712" s="798"/>
      <c r="U712" s="798"/>
      <c r="V712" s="798"/>
      <c r="W712" s="798"/>
      <c r="X712" s="798"/>
      <c r="Y712" s="798"/>
      <c r="Z712" s="341"/>
      <c r="AA712" s="798"/>
      <c r="AB712" s="798"/>
      <c r="AC712" s="798"/>
      <c r="AD712" s="798"/>
      <c r="AE712" s="798"/>
      <c r="AF712" s="798"/>
      <c r="AG712" s="798"/>
      <c r="AH712" s="798"/>
      <c r="AI712" s="798"/>
      <c r="AJ712" s="798"/>
      <c r="AK712" s="798"/>
      <c r="AL712" s="798"/>
      <c r="AM712" s="798"/>
      <c r="AN712" s="796"/>
      <c r="AO712" s="796"/>
      <c r="AP712" s="796"/>
      <c r="AQ712" s="796"/>
      <c r="AR712" s="796"/>
      <c r="AS712" s="796"/>
      <c r="AT712" s="796"/>
      <c r="AU712" s="796"/>
      <c r="AV712" s="796"/>
      <c r="AW712" s="796"/>
    </row>
    <row r="713" spans="2:49" ht="11.25">
      <c r="B713" s="364" t="s">
        <v>996</v>
      </c>
      <c r="C713" s="542"/>
      <c r="D713" s="17">
        <f>+'BS &amp; Notes 2014-15'!D746</f>
        <v>7143350</v>
      </c>
      <c r="E713" s="542"/>
      <c r="F713" s="551">
        <f>'BS &amp; Notes 2013-14'!D744</f>
        <v>0</v>
      </c>
      <c r="G713" s="542"/>
      <c r="H713" s="797"/>
      <c r="I713" s="798"/>
      <c r="J713" s="798"/>
      <c r="K713" s="798"/>
      <c r="L713" s="798"/>
      <c r="M713" s="798"/>
      <c r="N713" s="798"/>
      <c r="O713" s="798"/>
      <c r="P713" s="798"/>
      <c r="Q713" s="798"/>
      <c r="R713" s="798"/>
      <c r="S713" s="798"/>
      <c r="T713" s="798"/>
      <c r="U713" s="798"/>
      <c r="V713" s="798"/>
      <c r="W713" s="798"/>
      <c r="X713" s="798"/>
      <c r="Y713" s="798"/>
      <c r="Z713" s="341"/>
      <c r="AA713" s="798"/>
      <c r="AB713" s="798"/>
      <c r="AC713" s="798"/>
      <c r="AD713" s="798"/>
      <c r="AE713" s="798"/>
      <c r="AF713" s="798"/>
      <c r="AG713" s="798"/>
      <c r="AH713" s="798"/>
      <c r="AI713" s="798"/>
      <c r="AJ713" s="798"/>
      <c r="AK713" s="798"/>
      <c r="AL713" s="798"/>
      <c r="AM713" s="798"/>
      <c r="AN713" s="796"/>
      <c r="AO713" s="796"/>
      <c r="AP713" s="796"/>
      <c r="AQ713" s="796"/>
      <c r="AR713" s="796"/>
      <c r="AS713" s="796"/>
      <c r="AT713" s="796"/>
      <c r="AU713" s="796"/>
      <c r="AV713" s="796"/>
      <c r="AW713" s="796"/>
    </row>
    <row r="714" spans="2:49" ht="11.25">
      <c r="B714" s="364" t="s">
        <v>997</v>
      </c>
      <c r="C714" s="542"/>
      <c r="D714" s="17">
        <f>+'BS &amp; Notes 2014-15'!D747</f>
        <v>2994398</v>
      </c>
      <c r="E714" s="542"/>
      <c r="F714" s="551">
        <f>'BS &amp; Notes 2013-14'!D745</f>
        <v>0</v>
      </c>
      <c r="G714" s="542"/>
      <c r="H714" s="797"/>
      <c r="I714" s="798"/>
      <c r="J714" s="798"/>
      <c r="K714" s="798"/>
      <c r="L714" s="798"/>
      <c r="M714" s="798"/>
      <c r="N714" s="798"/>
      <c r="O714" s="798"/>
      <c r="P714" s="798"/>
      <c r="Q714" s="798"/>
      <c r="R714" s="798"/>
      <c r="S714" s="798"/>
      <c r="T714" s="798"/>
      <c r="U714" s="798"/>
      <c r="V714" s="798"/>
      <c r="W714" s="798"/>
      <c r="X714" s="798"/>
      <c r="Y714" s="798"/>
      <c r="Z714" s="341"/>
      <c r="AA714" s="798"/>
      <c r="AB714" s="798"/>
      <c r="AC714" s="798"/>
      <c r="AD714" s="798"/>
      <c r="AE714" s="798"/>
      <c r="AF714" s="798"/>
      <c r="AG714" s="798"/>
      <c r="AH714" s="798"/>
      <c r="AI714" s="798"/>
      <c r="AJ714" s="798"/>
      <c r="AK714" s="798"/>
      <c r="AL714" s="798"/>
      <c r="AM714" s="798"/>
      <c r="AN714" s="796"/>
      <c r="AO714" s="796"/>
      <c r="AP714" s="796"/>
      <c r="AQ714" s="796"/>
      <c r="AR714" s="796"/>
      <c r="AS714" s="796"/>
      <c r="AT714" s="796"/>
      <c r="AU714" s="796"/>
      <c r="AV714" s="796"/>
      <c r="AW714" s="796"/>
    </row>
    <row r="715" spans="2:49" ht="11.25">
      <c r="B715" s="364" t="s">
        <v>998</v>
      </c>
      <c r="C715" s="542"/>
      <c r="D715" s="17">
        <f>+'BS &amp; Notes 2014-15'!D748</f>
        <v>15051733</v>
      </c>
      <c r="E715" s="542"/>
      <c r="F715" s="551">
        <f>'BS &amp; Notes 2013-14'!D746</f>
        <v>0</v>
      </c>
      <c r="G715" s="542"/>
      <c r="H715" s="797"/>
      <c r="I715" s="798"/>
      <c r="J715" s="798"/>
      <c r="K715" s="798"/>
      <c r="L715" s="798"/>
      <c r="M715" s="798"/>
      <c r="N715" s="798"/>
      <c r="O715" s="798"/>
      <c r="P715" s="798"/>
      <c r="Q715" s="798"/>
      <c r="R715" s="798"/>
      <c r="S715" s="798"/>
      <c r="T715" s="798"/>
      <c r="U715" s="798"/>
      <c r="V715" s="798"/>
      <c r="W715" s="798"/>
      <c r="X715" s="798"/>
      <c r="Y715" s="798"/>
      <c r="Z715" s="341"/>
      <c r="AA715" s="798"/>
      <c r="AB715" s="798"/>
      <c r="AC715" s="798"/>
      <c r="AD715" s="798"/>
      <c r="AE715" s="798"/>
      <c r="AF715" s="798"/>
      <c r="AG715" s="798"/>
      <c r="AH715" s="798"/>
      <c r="AI715" s="798"/>
      <c r="AJ715" s="798"/>
      <c r="AK715" s="798"/>
      <c r="AL715" s="798"/>
      <c r="AM715" s="798"/>
      <c r="AN715" s="796"/>
      <c r="AO715" s="796"/>
      <c r="AP715" s="796"/>
      <c r="AQ715" s="796"/>
      <c r="AR715" s="796"/>
      <c r="AS715" s="796"/>
      <c r="AT715" s="796"/>
      <c r="AU715" s="796"/>
      <c r="AV715" s="796"/>
      <c r="AW715" s="796"/>
    </row>
    <row r="716" spans="2:49" ht="11.25">
      <c r="B716" s="364" t="s">
        <v>999</v>
      </c>
      <c r="C716" s="542"/>
      <c r="D716" s="17">
        <f>+'BS &amp; Notes 2014-15'!D749</f>
        <v>6903609</v>
      </c>
      <c r="E716" s="542"/>
      <c r="F716" s="551">
        <f>'BS &amp; Notes 2013-14'!D747</f>
        <v>0</v>
      </c>
      <c r="G716" s="542"/>
      <c r="H716" s="797"/>
      <c r="I716" s="798"/>
      <c r="J716" s="798"/>
      <c r="K716" s="798"/>
      <c r="L716" s="798"/>
      <c r="M716" s="798"/>
      <c r="N716" s="798"/>
      <c r="O716" s="798"/>
      <c r="P716" s="798"/>
      <c r="Q716" s="798"/>
      <c r="R716" s="798"/>
      <c r="S716" s="798"/>
      <c r="T716" s="798"/>
      <c r="U716" s="798"/>
      <c r="V716" s="798"/>
      <c r="W716" s="798"/>
      <c r="X716" s="798"/>
      <c r="Y716" s="798"/>
      <c r="Z716" s="341"/>
      <c r="AA716" s="798"/>
      <c r="AB716" s="798"/>
      <c r="AC716" s="798"/>
      <c r="AD716" s="798"/>
      <c r="AE716" s="798"/>
      <c r="AF716" s="798"/>
      <c r="AG716" s="798"/>
      <c r="AH716" s="798"/>
      <c r="AI716" s="798"/>
      <c r="AJ716" s="798"/>
      <c r="AK716" s="798"/>
      <c r="AL716" s="798"/>
      <c r="AM716" s="798"/>
      <c r="AN716" s="796"/>
      <c r="AO716" s="796"/>
      <c r="AP716" s="796"/>
      <c r="AQ716" s="796"/>
      <c r="AR716" s="796"/>
      <c r="AS716" s="796"/>
      <c r="AT716" s="796"/>
      <c r="AU716" s="796"/>
      <c r="AV716" s="796"/>
      <c r="AW716" s="796"/>
    </row>
    <row r="717" spans="2:49" ht="11.25">
      <c r="B717" s="364" t="s">
        <v>1000</v>
      </c>
      <c r="C717" s="542"/>
      <c r="D717" s="17">
        <f>+'BS &amp; Notes 2014-15'!D750</f>
        <v>38042407</v>
      </c>
      <c r="E717" s="542"/>
      <c r="F717" s="551">
        <f>'BS &amp; Notes 2013-14'!D748</f>
        <v>0</v>
      </c>
      <c r="G717" s="542"/>
      <c r="H717" s="797"/>
      <c r="I717" s="798"/>
      <c r="J717" s="798"/>
      <c r="K717" s="798"/>
      <c r="L717" s="798"/>
      <c r="M717" s="798"/>
      <c r="N717" s="798"/>
      <c r="O717" s="798"/>
      <c r="P717" s="798"/>
      <c r="Q717" s="798"/>
      <c r="R717" s="798"/>
      <c r="S717" s="798"/>
      <c r="T717" s="798"/>
      <c r="U717" s="798"/>
      <c r="V717" s="798"/>
      <c r="W717" s="798"/>
      <c r="X717" s="798"/>
      <c r="Y717" s="798"/>
      <c r="Z717" s="341"/>
      <c r="AA717" s="798"/>
      <c r="AB717" s="798"/>
      <c r="AC717" s="798"/>
      <c r="AD717" s="798"/>
      <c r="AE717" s="798"/>
      <c r="AF717" s="798"/>
      <c r="AG717" s="798"/>
      <c r="AH717" s="798"/>
      <c r="AI717" s="798"/>
      <c r="AJ717" s="798"/>
      <c r="AK717" s="798"/>
      <c r="AL717" s="798"/>
      <c r="AM717" s="798"/>
      <c r="AN717" s="796"/>
      <c r="AO717" s="796"/>
      <c r="AP717" s="796"/>
      <c r="AQ717" s="796"/>
      <c r="AR717" s="796"/>
      <c r="AS717" s="796"/>
      <c r="AT717" s="796"/>
      <c r="AU717" s="796"/>
      <c r="AV717" s="796"/>
      <c r="AW717" s="796"/>
    </row>
    <row r="718" spans="2:49" ht="11.25">
      <c r="B718" s="364" t="s">
        <v>1001</v>
      </c>
      <c r="C718" s="542"/>
      <c r="D718" s="17">
        <f>+'BS &amp; Notes 2014-15'!D751</f>
        <v>18860217</v>
      </c>
      <c r="E718" s="542"/>
      <c r="F718" s="551">
        <f>'BS &amp; Notes 2013-14'!D749</f>
        <v>0</v>
      </c>
      <c r="G718" s="542"/>
      <c r="H718" s="797"/>
      <c r="I718" s="798"/>
      <c r="J718" s="798"/>
      <c r="K718" s="798"/>
      <c r="L718" s="798"/>
      <c r="M718" s="798"/>
      <c r="N718" s="798"/>
      <c r="O718" s="798"/>
      <c r="P718" s="798"/>
      <c r="Q718" s="798"/>
      <c r="R718" s="798"/>
      <c r="S718" s="798"/>
      <c r="T718" s="798"/>
      <c r="U718" s="798"/>
      <c r="V718" s="798"/>
      <c r="W718" s="798"/>
      <c r="X718" s="798"/>
      <c r="Y718" s="798"/>
      <c r="Z718" s="341"/>
      <c r="AA718" s="798"/>
      <c r="AB718" s="798"/>
      <c r="AC718" s="798"/>
      <c r="AD718" s="798"/>
      <c r="AE718" s="798"/>
      <c r="AF718" s="798"/>
      <c r="AG718" s="798"/>
      <c r="AH718" s="798"/>
      <c r="AI718" s="798"/>
      <c r="AJ718" s="798"/>
      <c r="AK718" s="798"/>
      <c r="AL718" s="798"/>
      <c r="AM718" s="798"/>
      <c r="AN718" s="796"/>
      <c r="AO718" s="796"/>
      <c r="AP718" s="796"/>
      <c r="AQ718" s="796"/>
      <c r="AR718" s="796"/>
      <c r="AS718" s="796"/>
      <c r="AT718" s="796"/>
      <c r="AU718" s="796"/>
      <c r="AV718" s="796"/>
      <c r="AW718" s="796"/>
    </row>
    <row r="719" spans="2:49" ht="11.25">
      <c r="B719" s="364" t="s">
        <v>1002</v>
      </c>
      <c r="C719" s="542"/>
      <c r="D719" s="17">
        <f>+'BS &amp; Notes 2014-15'!D752</f>
        <v>6741215</v>
      </c>
      <c r="E719" s="542"/>
      <c r="F719" s="551">
        <f>'BS &amp; Notes 2013-14'!D750</f>
        <v>0</v>
      </c>
      <c r="G719" s="542"/>
      <c r="H719" s="797"/>
      <c r="I719" s="798"/>
      <c r="J719" s="798"/>
      <c r="K719" s="798"/>
      <c r="L719" s="798"/>
      <c r="M719" s="798"/>
      <c r="N719" s="798"/>
      <c r="O719" s="798"/>
      <c r="P719" s="798"/>
      <c r="Q719" s="798"/>
      <c r="R719" s="798"/>
      <c r="S719" s="798"/>
      <c r="T719" s="798"/>
      <c r="U719" s="798"/>
      <c r="V719" s="798"/>
      <c r="W719" s="798"/>
      <c r="X719" s="798"/>
      <c r="Y719" s="798"/>
      <c r="Z719" s="341"/>
      <c r="AA719" s="798"/>
      <c r="AB719" s="798"/>
      <c r="AC719" s="798"/>
      <c r="AD719" s="798"/>
      <c r="AE719" s="798"/>
      <c r="AF719" s="798"/>
      <c r="AG719" s="798"/>
      <c r="AH719" s="798"/>
      <c r="AI719" s="798"/>
      <c r="AJ719" s="798"/>
      <c r="AK719" s="798"/>
      <c r="AL719" s="798"/>
      <c r="AM719" s="798"/>
      <c r="AN719" s="796"/>
      <c r="AO719" s="796"/>
      <c r="AP719" s="796"/>
      <c r="AQ719" s="796"/>
      <c r="AR719" s="796"/>
      <c r="AS719" s="796"/>
      <c r="AT719" s="796"/>
      <c r="AU719" s="796"/>
      <c r="AV719" s="796"/>
      <c r="AW719" s="796"/>
    </row>
    <row r="720" spans="2:49" ht="11.25">
      <c r="B720" s="364" t="s">
        <v>1003</v>
      </c>
      <c r="C720" s="542"/>
      <c r="D720" s="17">
        <f>+'BS &amp; Notes 2014-15'!D753</f>
        <v>48481803</v>
      </c>
      <c r="E720" s="542"/>
      <c r="F720" s="551">
        <f>'BS &amp; Notes 2013-14'!D751</f>
        <v>0</v>
      </c>
      <c r="G720" s="542"/>
      <c r="H720" s="797"/>
      <c r="I720" s="798"/>
      <c r="J720" s="798"/>
      <c r="K720" s="798"/>
      <c r="L720" s="798"/>
      <c r="M720" s="798"/>
      <c r="N720" s="798"/>
      <c r="O720" s="798"/>
      <c r="P720" s="798"/>
      <c r="Q720" s="798"/>
      <c r="R720" s="798"/>
      <c r="S720" s="798"/>
      <c r="T720" s="798"/>
      <c r="U720" s="798"/>
      <c r="V720" s="798"/>
      <c r="W720" s="798"/>
      <c r="X720" s="798"/>
      <c r="Y720" s="798"/>
      <c r="Z720" s="341"/>
      <c r="AA720" s="798"/>
      <c r="AB720" s="798"/>
      <c r="AC720" s="798"/>
      <c r="AD720" s="798"/>
      <c r="AE720" s="798"/>
      <c r="AF720" s="798"/>
      <c r="AG720" s="798"/>
      <c r="AH720" s="798"/>
      <c r="AI720" s="798"/>
      <c r="AJ720" s="798"/>
      <c r="AK720" s="798"/>
      <c r="AL720" s="798"/>
      <c r="AM720" s="798"/>
      <c r="AN720" s="796"/>
      <c r="AO720" s="796"/>
      <c r="AP720" s="796"/>
      <c r="AQ720" s="796"/>
      <c r="AR720" s="796"/>
      <c r="AS720" s="796"/>
      <c r="AT720" s="796"/>
      <c r="AU720" s="796"/>
      <c r="AV720" s="796"/>
      <c r="AW720" s="796"/>
    </row>
    <row r="721" spans="2:49" ht="11.25">
      <c r="B721" s="364" t="s">
        <v>1021</v>
      </c>
      <c r="C721" s="542"/>
      <c r="D721" s="17">
        <f>+'BS &amp; Notes 2014-15'!D754</f>
        <v>5832722</v>
      </c>
      <c r="E721" s="542"/>
      <c r="F721" s="551">
        <f>'BS &amp; Notes 2013-14'!D752</f>
        <v>0</v>
      </c>
      <c r="G721" s="542"/>
      <c r="H721" s="797"/>
      <c r="I721" s="798"/>
      <c r="J721" s="798"/>
      <c r="K721" s="798"/>
      <c r="L721" s="798"/>
      <c r="M721" s="798"/>
      <c r="N721" s="798"/>
      <c r="O721" s="798"/>
      <c r="P721" s="798"/>
      <c r="Q721" s="798"/>
      <c r="R721" s="798"/>
      <c r="S721" s="798"/>
      <c r="T721" s="798"/>
      <c r="U721" s="798"/>
      <c r="V721" s="798"/>
      <c r="W721" s="798"/>
      <c r="X721" s="798"/>
      <c r="Y721" s="798"/>
      <c r="Z721" s="798"/>
      <c r="AA721" s="798"/>
      <c r="AB721" s="798"/>
      <c r="AC721" s="798"/>
      <c r="AD721" s="798"/>
      <c r="AE721" s="798"/>
      <c r="AF721" s="798"/>
      <c r="AG721" s="798"/>
      <c r="AH721" s="798"/>
      <c r="AI721" s="798"/>
      <c r="AJ721" s="798"/>
      <c r="AK721" s="798"/>
      <c r="AL721" s="798"/>
      <c r="AM721" s="798"/>
      <c r="AN721" s="796"/>
      <c r="AO721" s="796"/>
      <c r="AP721" s="796"/>
      <c r="AQ721" s="796"/>
      <c r="AR721" s="796"/>
      <c r="AS721" s="796"/>
      <c r="AT721" s="796"/>
      <c r="AU721" s="796"/>
      <c r="AV721" s="796"/>
      <c r="AW721" s="796"/>
    </row>
    <row r="722" spans="2:49" ht="11.25">
      <c r="B722" s="364" t="s">
        <v>1005</v>
      </c>
      <c r="C722" s="542"/>
      <c r="D722" s="17">
        <f>+'BS &amp; Notes 2014-15'!D755</f>
        <v>3971543</v>
      </c>
      <c r="E722" s="542"/>
      <c r="F722" s="551">
        <f>'BS &amp; Notes 2013-14'!D753</f>
        <v>0</v>
      </c>
      <c r="G722" s="542"/>
      <c r="H722" s="797"/>
      <c r="I722" s="798"/>
      <c r="J722" s="798"/>
      <c r="K722" s="798"/>
      <c r="L722" s="798"/>
      <c r="M722" s="798"/>
      <c r="N722" s="798"/>
      <c r="O722" s="798"/>
      <c r="P722" s="798"/>
      <c r="Q722" s="798"/>
      <c r="R722" s="798"/>
      <c r="S722" s="798"/>
      <c r="T722" s="798"/>
      <c r="U722" s="798"/>
      <c r="V722" s="798"/>
      <c r="W722" s="798"/>
      <c r="X722" s="798"/>
      <c r="Y722" s="798"/>
      <c r="Z722" s="341"/>
      <c r="AA722" s="798"/>
      <c r="AB722" s="798"/>
      <c r="AC722" s="798"/>
      <c r="AD722" s="798"/>
      <c r="AE722" s="798"/>
      <c r="AF722" s="798"/>
      <c r="AG722" s="798"/>
      <c r="AH722" s="798"/>
      <c r="AI722" s="798"/>
      <c r="AJ722" s="798"/>
      <c r="AK722" s="798"/>
      <c r="AL722" s="798"/>
      <c r="AM722" s="798"/>
      <c r="AN722" s="796"/>
      <c r="AO722" s="796"/>
      <c r="AP722" s="796"/>
      <c r="AQ722" s="796"/>
      <c r="AR722" s="796"/>
      <c r="AS722" s="796"/>
      <c r="AT722" s="796"/>
      <c r="AU722" s="796"/>
      <c r="AV722" s="796"/>
      <c r="AW722" s="796"/>
    </row>
    <row r="723" spans="2:49" ht="11.25">
      <c r="B723" s="364" t="s">
        <v>1006</v>
      </c>
      <c r="C723" s="542"/>
      <c r="D723" s="17">
        <f>+'BS &amp; Notes 2014-15'!D756</f>
        <v>430687</v>
      </c>
      <c r="E723" s="542"/>
      <c r="F723" s="551">
        <f>'BS &amp; Notes 2013-14'!D754</f>
        <v>0</v>
      </c>
      <c r="G723" s="542"/>
      <c r="H723" s="797"/>
      <c r="I723" s="798"/>
      <c r="J723" s="798"/>
      <c r="K723" s="798"/>
      <c r="L723" s="798"/>
      <c r="M723" s="798"/>
      <c r="N723" s="798"/>
      <c r="O723" s="798"/>
      <c r="P723" s="798"/>
      <c r="Q723" s="798"/>
      <c r="R723" s="798"/>
      <c r="S723" s="798"/>
      <c r="T723" s="798"/>
      <c r="U723" s="798"/>
      <c r="V723" s="798"/>
      <c r="W723" s="798"/>
      <c r="X723" s="798"/>
      <c r="Y723" s="798"/>
      <c r="Z723" s="341"/>
      <c r="AA723" s="798"/>
      <c r="AB723" s="798"/>
      <c r="AC723" s="798"/>
      <c r="AD723" s="798"/>
      <c r="AE723" s="798"/>
      <c r="AF723" s="798"/>
      <c r="AG723" s="798"/>
      <c r="AH723" s="798"/>
      <c r="AI723" s="798"/>
      <c r="AJ723" s="798"/>
      <c r="AK723" s="798"/>
      <c r="AL723" s="798"/>
      <c r="AM723" s="798"/>
      <c r="AN723" s="796"/>
      <c r="AO723" s="796"/>
      <c r="AP723" s="796"/>
      <c r="AQ723" s="796"/>
      <c r="AR723" s="796"/>
      <c r="AS723" s="796"/>
      <c r="AT723" s="796"/>
      <c r="AU723" s="796"/>
      <c r="AV723" s="796"/>
      <c r="AW723" s="796"/>
    </row>
    <row r="724" spans="2:49" ht="11.25">
      <c r="B724" s="364" t="s">
        <v>1007</v>
      </c>
      <c r="C724" s="542"/>
      <c r="D724" s="17">
        <f>+'BS &amp; Notes 2014-15'!D757</f>
        <v>5483243</v>
      </c>
      <c r="E724" s="542"/>
      <c r="F724" s="551">
        <f>'BS &amp; Notes 2013-14'!D755</f>
        <v>0</v>
      </c>
      <c r="G724" s="542"/>
      <c r="H724" s="797"/>
      <c r="I724" s="798"/>
      <c r="J724" s="798"/>
      <c r="K724" s="798"/>
      <c r="L724" s="798"/>
      <c r="M724" s="798"/>
      <c r="N724" s="798"/>
      <c r="O724" s="798"/>
      <c r="P724" s="798"/>
      <c r="Q724" s="798"/>
      <c r="R724" s="798"/>
      <c r="S724" s="798"/>
      <c r="T724" s="798"/>
      <c r="U724" s="798"/>
      <c r="V724" s="798"/>
      <c r="W724" s="798"/>
      <c r="X724" s="798"/>
      <c r="Y724" s="798"/>
      <c r="Z724" s="341"/>
      <c r="AA724" s="798"/>
      <c r="AB724" s="798"/>
      <c r="AC724" s="798"/>
      <c r="AD724" s="798"/>
      <c r="AE724" s="798"/>
      <c r="AF724" s="798"/>
      <c r="AG724" s="798"/>
      <c r="AH724" s="798"/>
      <c r="AI724" s="798"/>
      <c r="AJ724" s="798"/>
      <c r="AK724" s="798"/>
      <c r="AL724" s="798"/>
      <c r="AM724" s="798"/>
      <c r="AN724" s="796"/>
      <c r="AO724" s="796"/>
      <c r="AP724" s="796"/>
      <c r="AQ724" s="796"/>
      <c r="AR724" s="796"/>
      <c r="AS724" s="796"/>
      <c r="AT724" s="796"/>
      <c r="AU724" s="796"/>
      <c r="AV724" s="796"/>
      <c r="AW724" s="796"/>
    </row>
    <row r="725" spans="2:49" ht="11.25">
      <c r="B725" s="364" t="s">
        <v>1008</v>
      </c>
      <c r="C725" s="542"/>
      <c r="D725" s="17">
        <f>+'BS &amp; Notes 2014-15'!D758</f>
        <v>18307935</v>
      </c>
      <c r="E725" s="542"/>
      <c r="F725" s="551">
        <f>'BS &amp; Notes 2013-14'!D756</f>
        <v>0</v>
      </c>
      <c r="G725" s="542"/>
      <c r="H725" s="797"/>
      <c r="I725" s="798"/>
      <c r="J725" s="798"/>
      <c r="K725" s="798"/>
      <c r="L725" s="798"/>
      <c r="M725" s="798"/>
      <c r="N725" s="798"/>
      <c r="O725" s="798"/>
      <c r="P725" s="798"/>
      <c r="Q725" s="798"/>
      <c r="R725" s="798"/>
      <c r="S725" s="798"/>
      <c r="T725" s="798"/>
      <c r="U725" s="798"/>
      <c r="V725" s="798"/>
      <c r="W725" s="798"/>
      <c r="X725" s="798"/>
      <c r="Y725" s="798"/>
      <c r="Z725" s="341"/>
      <c r="AA725" s="798"/>
      <c r="AB725" s="798"/>
      <c r="AC725" s="798"/>
      <c r="AD725" s="798"/>
      <c r="AE725" s="798"/>
      <c r="AF725" s="798"/>
      <c r="AG725" s="798"/>
      <c r="AH725" s="798"/>
      <c r="AI725" s="798"/>
      <c r="AJ725" s="798"/>
      <c r="AK725" s="798"/>
      <c r="AL725" s="798"/>
      <c r="AM725" s="798"/>
      <c r="AN725" s="796"/>
      <c r="AO725" s="796"/>
      <c r="AP725" s="796"/>
      <c r="AQ725" s="796"/>
      <c r="AR725" s="796"/>
      <c r="AS725" s="796"/>
      <c r="AT725" s="796"/>
      <c r="AU725" s="796"/>
      <c r="AV725" s="796"/>
      <c r="AW725" s="796"/>
    </row>
    <row r="726" spans="2:49" ht="11.25">
      <c r="B726" s="364" t="s">
        <v>1009</v>
      </c>
      <c r="C726" s="542"/>
      <c r="D726" s="17">
        <f>+'BS &amp; Notes 2014-15'!D759</f>
        <v>183278</v>
      </c>
      <c r="E726" s="542"/>
      <c r="F726" s="551">
        <f>'BS &amp; Notes 2013-14'!D757</f>
        <v>0</v>
      </c>
      <c r="G726" s="542"/>
      <c r="H726" s="797"/>
      <c r="I726" s="798"/>
      <c r="J726" s="798"/>
      <c r="K726" s="798"/>
      <c r="L726" s="798"/>
      <c r="M726" s="798"/>
      <c r="N726" s="798"/>
      <c r="O726" s="798"/>
      <c r="P726" s="798"/>
      <c r="Q726" s="798"/>
      <c r="R726" s="798"/>
      <c r="S726" s="798"/>
      <c r="T726" s="798"/>
      <c r="U726" s="798"/>
      <c r="V726" s="798"/>
      <c r="W726" s="798"/>
      <c r="X726" s="798"/>
      <c r="Y726" s="798"/>
      <c r="Z726" s="341"/>
      <c r="AA726" s="798"/>
      <c r="AB726" s="798"/>
      <c r="AC726" s="798"/>
      <c r="AD726" s="798"/>
      <c r="AE726" s="798"/>
      <c r="AF726" s="798"/>
      <c r="AG726" s="798"/>
      <c r="AH726" s="798"/>
      <c r="AI726" s="798"/>
      <c r="AJ726" s="798"/>
      <c r="AK726" s="798"/>
      <c r="AL726" s="798"/>
      <c r="AM726" s="798"/>
      <c r="AN726" s="796"/>
      <c r="AO726" s="796"/>
      <c r="AP726" s="796"/>
      <c r="AQ726" s="796"/>
      <c r="AR726" s="796"/>
      <c r="AS726" s="796"/>
      <c r="AT726" s="796"/>
      <c r="AU726" s="796"/>
      <c r="AV726" s="796"/>
      <c r="AW726" s="796"/>
    </row>
    <row r="727" spans="2:49" ht="11.25">
      <c r="B727" s="364" t="s">
        <v>1010</v>
      </c>
      <c r="C727" s="542"/>
      <c r="D727" s="17">
        <f>+'BS &amp; Notes 2014-15'!D760</f>
        <v>3389450</v>
      </c>
      <c r="E727" s="542"/>
      <c r="F727" s="551">
        <f>'BS &amp; Notes 2013-14'!D758</f>
        <v>0</v>
      </c>
      <c r="G727" s="542"/>
      <c r="H727" s="797"/>
      <c r="I727" s="798"/>
      <c r="J727" s="798"/>
      <c r="K727" s="798"/>
      <c r="L727" s="798"/>
      <c r="M727" s="798"/>
      <c r="N727" s="798"/>
      <c r="O727" s="798"/>
      <c r="P727" s="798"/>
      <c r="Q727" s="798"/>
      <c r="R727" s="798"/>
      <c r="S727" s="798"/>
      <c r="T727" s="798"/>
      <c r="U727" s="798"/>
      <c r="V727" s="798"/>
      <c r="W727" s="798"/>
      <c r="X727" s="798"/>
      <c r="Y727" s="798"/>
      <c r="Z727" s="341"/>
      <c r="AA727" s="798"/>
      <c r="AB727" s="798"/>
      <c r="AC727" s="798"/>
      <c r="AD727" s="798"/>
      <c r="AE727" s="798"/>
      <c r="AF727" s="798"/>
      <c r="AG727" s="798"/>
      <c r="AH727" s="798"/>
      <c r="AI727" s="798"/>
      <c r="AJ727" s="798"/>
      <c r="AK727" s="798"/>
      <c r="AL727" s="798"/>
      <c r="AM727" s="798"/>
      <c r="AN727" s="796"/>
      <c r="AO727" s="796"/>
      <c r="AP727" s="796"/>
      <c r="AQ727" s="796"/>
      <c r="AR727" s="796"/>
      <c r="AS727" s="796"/>
      <c r="AT727" s="796"/>
      <c r="AU727" s="796"/>
      <c r="AV727" s="796"/>
      <c r="AW727" s="796"/>
    </row>
    <row r="728" spans="2:49" ht="11.25">
      <c r="B728" s="364" t="s">
        <v>1011</v>
      </c>
      <c r="C728" s="542"/>
      <c r="D728" s="17">
        <f>+'BS &amp; Notes 2014-15'!D761</f>
        <v>7537007</v>
      </c>
      <c r="E728" s="542"/>
      <c r="F728" s="551">
        <f>'BS &amp; Notes 2013-14'!D759</f>
        <v>0</v>
      </c>
      <c r="G728" s="542"/>
      <c r="H728" s="797"/>
      <c r="I728" s="798"/>
      <c r="J728" s="798"/>
      <c r="K728" s="798"/>
      <c r="L728" s="798"/>
      <c r="M728" s="798"/>
      <c r="N728" s="798"/>
      <c r="O728" s="798"/>
      <c r="P728" s="798"/>
      <c r="Q728" s="798"/>
      <c r="R728" s="798"/>
      <c r="S728" s="798"/>
      <c r="T728" s="798"/>
      <c r="U728" s="798"/>
      <c r="V728" s="798"/>
      <c r="W728" s="798"/>
      <c r="X728" s="798"/>
      <c r="Y728" s="798"/>
      <c r="Z728" s="341"/>
      <c r="AA728" s="798"/>
      <c r="AB728" s="798"/>
      <c r="AC728" s="798"/>
      <c r="AD728" s="798"/>
      <c r="AE728" s="798"/>
      <c r="AF728" s="798"/>
      <c r="AG728" s="798"/>
      <c r="AH728" s="798"/>
      <c r="AI728" s="798"/>
      <c r="AJ728" s="798"/>
      <c r="AK728" s="798"/>
      <c r="AL728" s="798"/>
      <c r="AM728" s="798"/>
      <c r="AN728" s="796"/>
      <c r="AO728" s="796"/>
      <c r="AP728" s="796"/>
      <c r="AQ728" s="796"/>
      <c r="AR728" s="796"/>
      <c r="AS728" s="796"/>
      <c r="AT728" s="796"/>
      <c r="AU728" s="796"/>
      <c r="AV728" s="796"/>
      <c r="AW728" s="796"/>
    </row>
    <row r="729" spans="2:49" ht="11.25">
      <c r="B729" s="364" t="s">
        <v>1012</v>
      </c>
      <c r="C729" s="542"/>
      <c r="D729" s="17">
        <f>+'BS &amp; Notes 2014-15'!D762</f>
        <v>22025461</v>
      </c>
      <c r="E729" s="542"/>
      <c r="F729" s="551">
        <f>'BS &amp; Notes 2013-14'!D760</f>
        <v>0</v>
      </c>
      <c r="G729" s="542"/>
      <c r="H729" s="797"/>
      <c r="I729" s="798"/>
      <c r="J729" s="798"/>
      <c r="K729" s="798"/>
      <c r="L729" s="798"/>
      <c r="M729" s="798"/>
      <c r="N729" s="798"/>
      <c r="O729" s="798"/>
      <c r="P729" s="798"/>
      <c r="Q729" s="798"/>
      <c r="R729" s="798"/>
      <c r="S729" s="798"/>
      <c r="T729" s="798"/>
      <c r="U729" s="798"/>
      <c r="V729" s="798"/>
      <c r="W729" s="798"/>
      <c r="X729" s="798"/>
      <c r="Y729" s="798"/>
      <c r="Z729" s="341"/>
      <c r="AA729" s="798"/>
      <c r="AB729" s="798"/>
      <c r="AC729" s="798"/>
      <c r="AD729" s="798"/>
      <c r="AE729" s="798"/>
      <c r="AF729" s="798"/>
      <c r="AG729" s="798"/>
      <c r="AH729" s="798"/>
      <c r="AI729" s="798"/>
      <c r="AJ729" s="798"/>
      <c r="AK729" s="798"/>
      <c r="AL729" s="798"/>
      <c r="AM729" s="798"/>
      <c r="AN729" s="796"/>
      <c r="AO729" s="796"/>
      <c r="AP729" s="796"/>
      <c r="AQ729" s="796"/>
      <c r="AR729" s="796"/>
      <c r="AS729" s="796"/>
      <c r="AT729" s="796"/>
      <c r="AU729" s="796"/>
      <c r="AV729" s="796"/>
      <c r="AW729" s="796"/>
    </row>
    <row r="730" spans="2:49" ht="11.25">
      <c r="B730" s="364" t="s">
        <v>1279</v>
      </c>
      <c r="C730" s="542"/>
      <c r="D730" s="17">
        <f>+'BS &amp; Notes 2014-15'!D763</f>
        <v>4675530</v>
      </c>
      <c r="E730" s="542"/>
      <c r="F730" s="551">
        <f>'BS &amp; Notes 2013-14'!D761</f>
        <v>0</v>
      </c>
      <c r="G730" s="542"/>
      <c r="H730" s="797"/>
      <c r="I730" s="798"/>
      <c r="J730" s="798"/>
      <c r="K730" s="798"/>
      <c r="L730" s="798"/>
      <c r="M730" s="798"/>
      <c r="N730" s="798"/>
      <c r="O730" s="798"/>
      <c r="P730" s="798"/>
      <c r="Q730" s="798"/>
      <c r="R730" s="798"/>
      <c r="S730" s="798"/>
      <c r="T730" s="798"/>
      <c r="U730" s="798"/>
      <c r="V730" s="798"/>
      <c r="W730" s="798"/>
      <c r="X730" s="798"/>
      <c r="Y730" s="798"/>
      <c r="Z730" s="341"/>
      <c r="AA730" s="798"/>
      <c r="AB730" s="798"/>
      <c r="AC730" s="798"/>
      <c r="AD730" s="798"/>
      <c r="AE730" s="798"/>
      <c r="AF730" s="798"/>
      <c r="AG730" s="798"/>
      <c r="AH730" s="798"/>
      <c r="AI730" s="798"/>
      <c r="AJ730" s="798"/>
      <c r="AK730" s="798"/>
      <c r="AL730" s="798"/>
      <c r="AM730" s="798"/>
      <c r="AN730" s="796"/>
      <c r="AO730" s="796"/>
      <c r="AP730" s="796"/>
      <c r="AQ730" s="796"/>
      <c r="AR730" s="796"/>
      <c r="AS730" s="796"/>
      <c r="AT730" s="796"/>
      <c r="AU730" s="796"/>
      <c r="AV730" s="796"/>
      <c r="AW730" s="796"/>
    </row>
    <row r="731" spans="2:49" ht="11.25">
      <c r="B731" s="364" t="s">
        <v>1014</v>
      </c>
      <c r="C731" s="542"/>
      <c r="D731" s="17">
        <f>+'BS &amp; Notes 2014-15'!D764</f>
        <v>-2735206</v>
      </c>
      <c r="E731" s="542"/>
      <c r="F731" s="551">
        <f>'BS &amp; Notes 2013-14'!D762</f>
        <v>0</v>
      </c>
      <c r="G731" s="542"/>
      <c r="H731" s="797"/>
      <c r="I731" s="798"/>
      <c r="J731" s="798"/>
      <c r="K731" s="798"/>
      <c r="L731" s="798"/>
      <c r="M731" s="798"/>
      <c r="N731" s="798"/>
      <c r="O731" s="798"/>
      <c r="P731" s="798"/>
      <c r="Q731" s="798"/>
      <c r="R731" s="798"/>
      <c r="S731" s="798"/>
      <c r="T731" s="798"/>
      <c r="U731" s="798"/>
      <c r="V731" s="798"/>
      <c r="W731" s="798"/>
      <c r="X731" s="798"/>
      <c r="Y731" s="798"/>
      <c r="Z731" s="341"/>
      <c r="AA731" s="798"/>
      <c r="AB731" s="798"/>
      <c r="AC731" s="798"/>
      <c r="AD731" s="798"/>
      <c r="AE731" s="798"/>
      <c r="AF731" s="798"/>
      <c r="AG731" s="798"/>
      <c r="AH731" s="798"/>
      <c r="AI731" s="798"/>
      <c r="AJ731" s="798"/>
      <c r="AK731" s="798"/>
      <c r="AL731" s="798"/>
      <c r="AM731" s="798"/>
      <c r="AN731" s="796"/>
      <c r="AO731" s="796"/>
      <c r="AP731" s="796"/>
      <c r="AQ731" s="796"/>
      <c r="AR731" s="796"/>
      <c r="AS731" s="796"/>
      <c r="AT731" s="796"/>
      <c r="AU731" s="796"/>
      <c r="AV731" s="796"/>
      <c r="AW731" s="796"/>
    </row>
    <row r="732" spans="2:49" ht="11.25">
      <c r="B732" s="364" t="s">
        <v>1016</v>
      </c>
      <c r="C732" s="542"/>
      <c r="D732" s="17">
        <f>+'BS &amp; Notes 2014-15'!D765</f>
        <v>8535474</v>
      </c>
      <c r="E732" s="542"/>
      <c r="F732" s="551">
        <f>'BS &amp; Notes 2013-14'!D764</f>
        <v>0</v>
      </c>
      <c r="G732" s="542"/>
      <c r="H732" s="797"/>
      <c r="I732" s="798"/>
      <c r="J732" s="798"/>
      <c r="K732" s="798"/>
      <c r="L732" s="798"/>
      <c r="M732" s="798"/>
      <c r="N732" s="798"/>
      <c r="O732" s="798"/>
      <c r="P732" s="798"/>
      <c r="Q732" s="798"/>
      <c r="R732" s="798"/>
      <c r="S732" s="798"/>
      <c r="T732" s="798"/>
      <c r="U732" s="798"/>
      <c r="V732" s="798"/>
      <c r="W732" s="798"/>
      <c r="X732" s="798"/>
      <c r="Y732" s="798"/>
      <c r="Z732" s="341"/>
      <c r="AA732" s="798"/>
      <c r="AB732" s="798"/>
      <c r="AC732" s="798"/>
      <c r="AD732" s="798"/>
      <c r="AE732" s="798"/>
      <c r="AF732" s="798"/>
      <c r="AG732" s="798"/>
      <c r="AH732" s="798"/>
      <c r="AI732" s="798"/>
      <c r="AJ732" s="798"/>
      <c r="AK732" s="798"/>
      <c r="AL732" s="798"/>
      <c r="AM732" s="798"/>
      <c r="AN732" s="796"/>
      <c r="AO732" s="796"/>
      <c r="AP732" s="796"/>
      <c r="AQ732" s="796"/>
      <c r="AR732" s="796"/>
      <c r="AS732" s="796"/>
      <c r="AT732" s="796"/>
      <c r="AU732" s="796"/>
      <c r="AV732" s="796"/>
      <c r="AW732" s="796"/>
    </row>
    <row r="733" spans="2:49" ht="11.25">
      <c r="B733" s="364" t="s">
        <v>1280</v>
      </c>
      <c r="C733" s="542"/>
      <c r="D733" s="17">
        <f>+'BS &amp; Notes 2014-15'!D766</f>
        <v>15994766</v>
      </c>
      <c r="E733" s="542"/>
      <c r="F733" s="551">
        <f>'BS &amp; Notes 2013-14'!D765</f>
        <v>0</v>
      </c>
      <c r="G733" s="542"/>
      <c r="H733" s="797"/>
      <c r="I733" s="798"/>
      <c r="J733" s="798"/>
      <c r="K733" s="798"/>
      <c r="L733" s="798"/>
      <c r="M733" s="798"/>
      <c r="N733" s="798"/>
      <c r="O733" s="798"/>
      <c r="P733" s="798"/>
      <c r="Q733" s="798"/>
      <c r="R733" s="798"/>
      <c r="S733" s="798"/>
      <c r="T733" s="798"/>
      <c r="U733" s="798"/>
      <c r="V733" s="798"/>
      <c r="W733" s="798"/>
      <c r="X733" s="798"/>
      <c r="Y733" s="798"/>
      <c r="Z733" s="341"/>
      <c r="AA733" s="798"/>
      <c r="AB733" s="798"/>
      <c r="AC733" s="798"/>
      <c r="AD733" s="798"/>
      <c r="AE733" s="798"/>
      <c r="AF733" s="341"/>
      <c r="AG733" s="798"/>
      <c r="AH733" s="798"/>
      <c r="AI733" s="798"/>
      <c r="AJ733" s="798"/>
      <c r="AK733" s="798"/>
      <c r="AL733" s="798"/>
      <c r="AM733" s="798"/>
      <c r="AN733" s="796"/>
      <c r="AO733" s="796"/>
      <c r="AP733" s="796"/>
      <c r="AQ733" s="796"/>
      <c r="AR733" s="796"/>
      <c r="AS733" s="796"/>
      <c r="AT733" s="796"/>
      <c r="AU733" s="796"/>
      <c r="AV733" s="796"/>
      <c r="AW733" s="796"/>
    </row>
    <row r="734" spans="2:49" ht="11.25">
      <c r="B734" s="364" t="s">
        <v>1017</v>
      </c>
      <c r="C734" s="542"/>
      <c r="D734" s="17">
        <f>+'BS &amp; Notes 2014-15'!D767</f>
        <v>6858344</v>
      </c>
      <c r="E734" s="542"/>
      <c r="F734" s="551">
        <f>'BS &amp; Notes 2013-14'!D766</f>
        <v>0</v>
      </c>
      <c r="G734" s="542"/>
      <c r="H734" s="797"/>
      <c r="I734" s="798"/>
      <c r="J734" s="798"/>
      <c r="K734" s="798"/>
      <c r="L734" s="798"/>
      <c r="M734" s="798"/>
      <c r="N734" s="798"/>
      <c r="O734" s="798"/>
      <c r="P734" s="798"/>
      <c r="Q734" s="798"/>
      <c r="R734" s="798"/>
      <c r="S734" s="798"/>
      <c r="T734" s="798"/>
      <c r="U734" s="798"/>
      <c r="V734" s="798"/>
      <c r="W734" s="798"/>
      <c r="X734" s="798"/>
      <c r="Y734" s="798"/>
      <c r="Z734" s="341"/>
      <c r="AA734" s="798"/>
      <c r="AB734" s="798"/>
      <c r="AC734" s="798"/>
      <c r="AD734" s="798"/>
      <c r="AE734" s="798"/>
      <c r="AF734" s="798"/>
      <c r="AG734" s="798"/>
      <c r="AH734" s="798"/>
      <c r="AI734" s="798"/>
      <c r="AJ734" s="798"/>
      <c r="AK734" s="798"/>
      <c r="AL734" s="798"/>
      <c r="AM734" s="798"/>
      <c r="AN734" s="796"/>
      <c r="AO734" s="796"/>
      <c r="AP734" s="796"/>
      <c r="AQ734" s="796"/>
      <c r="AR734" s="796"/>
      <c r="AS734" s="796"/>
      <c r="AT734" s="796"/>
      <c r="AU734" s="796"/>
      <c r="AV734" s="796"/>
      <c r="AW734" s="796"/>
    </row>
    <row r="735" spans="2:49" ht="21">
      <c r="B735" s="364" t="s">
        <v>1018</v>
      </c>
      <c r="C735" s="542"/>
      <c r="D735" s="17">
        <f>+'BS &amp; Notes 2014-15'!D768</f>
        <v>299961905</v>
      </c>
      <c r="E735" s="542"/>
      <c r="F735" s="551">
        <f>'BS &amp; Notes 2013-14'!D767</f>
        <v>0</v>
      </c>
      <c r="G735" s="542"/>
      <c r="H735" s="797"/>
      <c r="I735" s="798"/>
      <c r="J735" s="798"/>
      <c r="K735" s="798"/>
      <c r="L735" s="798"/>
      <c r="M735" s="798"/>
      <c r="N735" s="798"/>
      <c r="O735" s="798"/>
      <c r="P735" s="798"/>
      <c r="Q735" s="798"/>
      <c r="R735" s="798"/>
      <c r="S735" s="798"/>
      <c r="T735" s="798"/>
      <c r="U735" s="798"/>
      <c r="V735" s="798"/>
      <c r="W735" s="798"/>
      <c r="X735" s="798"/>
      <c r="Y735" s="798"/>
      <c r="Z735" s="341"/>
      <c r="AA735" s="798"/>
      <c r="AB735" s="798"/>
      <c r="AC735" s="798"/>
      <c r="AD735" s="798"/>
      <c r="AE735" s="798"/>
      <c r="AF735" s="798"/>
      <c r="AG735" s="798"/>
      <c r="AH735" s="798"/>
      <c r="AI735" s="798"/>
      <c r="AJ735" s="798"/>
      <c r="AK735" s="798"/>
      <c r="AL735" s="798"/>
      <c r="AM735" s="798"/>
      <c r="AN735" s="796"/>
      <c r="AO735" s="796"/>
      <c r="AP735" s="796"/>
      <c r="AQ735" s="796"/>
      <c r="AR735" s="796"/>
      <c r="AS735" s="796"/>
      <c r="AT735" s="796"/>
      <c r="AU735" s="796"/>
      <c r="AV735" s="796"/>
      <c r="AW735" s="796"/>
    </row>
    <row r="736" spans="2:49" ht="21">
      <c r="B736" s="364" t="s">
        <v>1274</v>
      </c>
      <c r="C736" s="542"/>
      <c r="D736" s="17">
        <f>+'BS &amp; Notes 2014-15'!D769</f>
        <v>78349570</v>
      </c>
      <c r="E736" s="542"/>
      <c r="F736" s="551"/>
      <c r="G736" s="542"/>
      <c r="H736" s="797"/>
      <c r="I736" s="798"/>
      <c r="J736" s="798"/>
      <c r="K736" s="798"/>
      <c r="L736" s="798"/>
      <c r="M736" s="798"/>
      <c r="N736" s="798"/>
      <c r="O736" s="798"/>
      <c r="P736" s="798"/>
      <c r="Q736" s="798"/>
      <c r="R736" s="798"/>
      <c r="S736" s="798"/>
      <c r="T736" s="798"/>
      <c r="U736" s="798"/>
      <c r="V736" s="798"/>
      <c r="W736" s="798"/>
      <c r="X736" s="798"/>
      <c r="Y736" s="798"/>
      <c r="Z736" s="341"/>
      <c r="AA736" s="798"/>
      <c r="AB736" s="798"/>
      <c r="AC736" s="798"/>
      <c r="AD736" s="798"/>
      <c r="AE736" s="798"/>
      <c r="AF736" s="798"/>
      <c r="AG736" s="798"/>
      <c r="AH736" s="798"/>
      <c r="AI736" s="798"/>
      <c r="AJ736" s="798"/>
      <c r="AK736" s="798"/>
      <c r="AL736" s="798"/>
      <c r="AM736" s="798"/>
      <c r="AN736" s="796"/>
      <c r="AO736" s="796"/>
      <c r="AP736" s="796"/>
      <c r="AQ736" s="796"/>
      <c r="AR736" s="796"/>
      <c r="AS736" s="796"/>
      <c r="AT736" s="796"/>
      <c r="AU736" s="796"/>
      <c r="AV736" s="796"/>
      <c r="AW736" s="796"/>
    </row>
    <row r="737" spans="2:49" ht="21">
      <c r="B737" s="364" t="s">
        <v>1019</v>
      </c>
      <c r="C737" s="542"/>
      <c r="D737" s="17">
        <f>+'BS &amp; Notes 2014-15'!D770</f>
        <v>12358817</v>
      </c>
      <c r="E737" s="542"/>
      <c r="F737" s="551">
        <f>'BS &amp; Notes 2013-14'!D768</f>
        <v>0</v>
      </c>
      <c r="G737" s="542"/>
      <c r="H737" s="797"/>
      <c r="I737" s="798"/>
      <c r="J737" s="798"/>
      <c r="K737" s="798"/>
      <c r="L737" s="798"/>
      <c r="M737" s="798"/>
      <c r="N737" s="798"/>
      <c r="O737" s="798"/>
      <c r="P737" s="798"/>
      <c r="Q737" s="798"/>
      <c r="R737" s="798"/>
      <c r="S737" s="798"/>
      <c r="T737" s="798"/>
      <c r="U737" s="798"/>
      <c r="V737" s="798"/>
      <c r="W737" s="798"/>
      <c r="X737" s="798"/>
      <c r="Y737" s="798"/>
      <c r="Z737" s="341"/>
      <c r="AA737" s="798"/>
      <c r="AB737" s="798"/>
      <c r="AC737" s="798"/>
      <c r="AD737" s="798"/>
      <c r="AE737" s="798"/>
      <c r="AF737" s="798"/>
      <c r="AG737" s="798"/>
      <c r="AH737" s="798"/>
      <c r="AI737" s="798"/>
      <c r="AJ737" s="798"/>
      <c r="AK737" s="798"/>
      <c r="AL737" s="798"/>
      <c r="AM737" s="798"/>
      <c r="AN737" s="796"/>
      <c r="AO737" s="796"/>
      <c r="AP737" s="796"/>
      <c r="AQ737" s="796"/>
      <c r="AR737" s="796"/>
      <c r="AS737" s="796"/>
      <c r="AT737" s="796"/>
      <c r="AU737" s="796"/>
      <c r="AV737" s="796"/>
      <c r="AW737" s="796"/>
    </row>
    <row r="738" spans="2:49" ht="12" thickBot="1">
      <c r="B738" s="364" t="s">
        <v>1020</v>
      </c>
      <c r="C738" s="542"/>
      <c r="D738" s="544">
        <f>+'BS &amp; Notes 2014-15'!D771</f>
        <v>63114864</v>
      </c>
      <c r="E738" s="542">
        <f>SUM(D704:D738)</f>
        <v>835419810</v>
      </c>
      <c r="F738" s="553">
        <f>'BS &amp; Notes 2013-14'!D769</f>
        <v>0</v>
      </c>
      <c r="G738" s="542">
        <f>SUM(F704:F738)</f>
        <v>0</v>
      </c>
      <c r="H738" s="797"/>
      <c r="I738" s="798"/>
      <c r="J738" s="798"/>
      <c r="K738" s="798"/>
      <c r="L738" s="798"/>
      <c r="M738" s="798"/>
      <c r="N738" s="798"/>
      <c r="O738" s="798"/>
      <c r="P738" s="798"/>
      <c r="Q738" s="798"/>
      <c r="R738" s="798"/>
      <c r="S738" s="798"/>
      <c r="T738" s="798"/>
      <c r="U738" s="798"/>
      <c r="V738" s="798"/>
      <c r="W738" s="798"/>
      <c r="X738" s="798"/>
      <c r="Y738" s="798"/>
      <c r="Z738" s="798"/>
      <c r="AA738" s="798"/>
      <c r="AB738" s="798"/>
      <c r="AC738" s="798"/>
      <c r="AD738" s="798"/>
      <c r="AE738" s="798"/>
      <c r="AF738" s="798"/>
      <c r="AG738" s="798"/>
      <c r="AH738" s="798"/>
      <c r="AI738" s="798"/>
      <c r="AJ738" s="798"/>
      <c r="AK738" s="798"/>
      <c r="AL738" s="798"/>
      <c r="AM738" s="798"/>
      <c r="AN738" s="796"/>
      <c r="AO738" s="796"/>
      <c r="AP738" s="796"/>
      <c r="AQ738" s="796"/>
      <c r="AR738" s="796"/>
      <c r="AS738" s="796"/>
      <c r="AT738" s="796"/>
      <c r="AU738" s="796"/>
      <c r="AV738" s="796"/>
      <c r="AW738" s="796"/>
    </row>
    <row r="739" spans="2:49" ht="12" thickBot="1">
      <c r="B739" s="667" t="s">
        <v>806</v>
      </c>
      <c r="C739" s="542"/>
      <c r="D739" s="17"/>
      <c r="E739" s="581">
        <f>SUM(E691:E738)</f>
        <v>10759609297</v>
      </c>
      <c r="F739" s="723"/>
      <c r="G739" s="581">
        <f>SUM(G691:G738)</f>
        <v>0</v>
      </c>
      <c r="H739" s="797"/>
      <c r="I739" s="798"/>
      <c r="J739" s="798"/>
      <c r="K739" s="798"/>
      <c r="L739" s="798"/>
      <c r="M739" s="798"/>
      <c r="N739" s="798"/>
      <c r="O739" s="798"/>
      <c r="P739" s="798"/>
      <c r="Q739" s="798"/>
      <c r="R739" s="798"/>
      <c r="S739" s="798"/>
      <c r="T739" s="798"/>
      <c r="U739" s="798"/>
      <c r="V739" s="798"/>
      <c r="W739" s="798"/>
      <c r="X739" s="798"/>
      <c r="Y739" s="798"/>
      <c r="Z739" s="341"/>
      <c r="AA739" s="798"/>
      <c r="AB739" s="798"/>
      <c r="AC739" s="798"/>
      <c r="AD739" s="798"/>
      <c r="AE739" s="798"/>
      <c r="AF739" s="798"/>
      <c r="AG739" s="798"/>
      <c r="AH739" s="798"/>
      <c r="AI739" s="798"/>
      <c r="AJ739" s="798"/>
      <c r="AK739" s="798"/>
      <c r="AL739" s="798"/>
      <c r="AM739" s="798"/>
      <c r="AN739" s="796"/>
      <c r="AO739" s="796"/>
      <c r="AP739" s="796"/>
      <c r="AQ739" s="796"/>
      <c r="AR739" s="796"/>
      <c r="AS739" s="796"/>
      <c r="AT739" s="796"/>
      <c r="AU739" s="796"/>
      <c r="AV739" s="796"/>
      <c r="AW739" s="796"/>
    </row>
    <row r="740" spans="2:49" ht="12.75" thickTop="1" thickBot="1">
      <c r="B740" s="544"/>
      <c r="C740" s="12"/>
      <c r="D740" s="544"/>
      <c r="E740" s="12"/>
      <c r="F740" s="718"/>
      <c r="G740" s="12"/>
      <c r="H740" s="797"/>
      <c r="I740" s="863"/>
      <c r="J740" s="798"/>
      <c r="K740" s="798"/>
      <c r="L740" s="798"/>
      <c r="M740" s="798"/>
      <c r="N740" s="798"/>
      <c r="O740" s="798"/>
      <c r="P740" s="798"/>
      <c r="Q740" s="798"/>
      <c r="R740" s="798"/>
      <c r="S740" s="798"/>
      <c r="T740" s="798"/>
      <c r="U740" s="798"/>
      <c r="V740" s="798"/>
      <c r="W740" s="798"/>
      <c r="X740" s="798"/>
      <c r="Y740" s="798"/>
      <c r="Z740" s="341"/>
      <c r="AA740" s="798"/>
      <c r="AB740" s="798"/>
      <c r="AC740" s="798"/>
      <c r="AD740" s="798"/>
      <c r="AE740" s="798"/>
      <c r="AF740" s="798"/>
      <c r="AG740" s="798"/>
      <c r="AH740" s="798"/>
      <c r="AI740" s="798"/>
      <c r="AJ740" s="798"/>
      <c r="AK740" s="798"/>
      <c r="AL740" s="798"/>
      <c r="AM740" s="798"/>
      <c r="AN740" s="796"/>
      <c r="AO740" s="796"/>
      <c r="AP740" s="796"/>
      <c r="AQ740" s="796"/>
      <c r="AR740" s="796"/>
      <c r="AS740" s="796"/>
      <c r="AT740" s="796"/>
      <c r="AU740" s="796"/>
      <c r="AV740" s="796"/>
      <c r="AW740" s="796"/>
    </row>
    <row r="742" spans="2:49" ht="39.75" customHeight="1">
      <c r="B742" s="1437" t="s">
        <v>935</v>
      </c>
      <c r="C742" s="1437"/>
      <c r="D742" s="1437"/>
      <c r="E742" s="1437"/>
      <c r="F742" s="1437"/>
      <c r="G742" s="1437"/>
      <c r="I742" s="451"/>
      <c r="J742" s="451"/>
      <c r="K742" s="451"/>
      <c r="L742" s="451"/>
      <c r="M742" s="451"/>
      <c r="N742" s="451"/>
      <c r="O742" s="761"/>
      <c r="P742" s="451"/>
      <c r="Q742" s="451"/>
      <c r="R742" s="451"/>
      <c r="S742" s="451"/>
      <c r="T742" s="451"/>
      <c r="U742" s="451"/>
      <c r="V742" s="451"/>
      <c r="W742" s="451"/>
      <c r="X742" s="451"/>
      <c r="Y742" s="451"/>
      <c r="Z742" s="451"/>
      <c r="AA742" s="451"/>
      <c r="AB742" s="451"/>
      <c r="AC742" s="451"/>
      <c r="AD742" s="451"/>
      <c r="AE742" s="451"/>
      <c r="AF742" s="451"/>
      <c r="AG742" s="451"/>
      <c r="AH742" s="451"/>
      <c r="AI742" s="451"/>
      <c r="AJ742" s="451"/>
      <c r="AK742" s="451"/>
      <c r="AL742" s="451"/>
      <c r="AM742" s="451"/>
    </row>
    <row r="743" spans="2:49">
      <c r="I743" s="451"/>
      <c r="K743" s="451"/>
      <c r="M743" s="451"/>
      <c r="O743" s="451"/>
      <c r="Q743" s="451"/>
      <c r="S743" s="451"/>
      <c r="U743" s="451"/>
      <c r="W743" s="451"/>
      <c r="Y743" s="451"/>
      <c r="AA743" s="451"/>
      <c r="AC743" s="451"/>
      <c r="AE743" s="451"/>
      <c r="AG743" s="451"/>
      <c r="AI743" s="451"/>
      <c r="AK743" s="451"/>
      <c r="AM743" s="451"/>
    </row>
    <row r="744" spans="2:49" ht="35.25" customHeight="1">
      <c r="B744" s="1437" t="s">
        <v>936</v>
      </c>
      <c r="C744" s="1437"/>
      <c r="D744" s="1437"/>
      <c r="E744" s="1437"/>
      <c r="F744" s="1437"/>
      <c r="G744" s="1437"/>
    </row>
    <row r="746" spans="2:49" ht="21">
      <c r="B746" s="103" t="s">
        <v>283</v>
      </c>
    </row>
    <row r="748" spans="2:49">
      <c r="B748" s="2" t="s">
        <v>284</v>
      </c>
    </row>
    <row r="749" spans="2:49" ht="12" thickBot="1">
      <c r="F749" s="1442" t="s">
        <v>1180</v>
      </c>
      <c r="G749" s="1442"/>
    </row>
    <row r="750" spans="2:49" ht="11.25" customHeight="1" thickBot="1">
      <c r="B750" s="120"/>
      <c r="C750" s="19"/>
      <c r="D750" s="1431" t="s">
        <v>1231</v>
      </c>
      <c r="E750" s="1432"/>
      <c r="F750" s="1433" t="s">
        <v>1206</v>
      </c>
      <c r="G750" s="1432"/>
      <c r="H750" s="1538"/>
      <c r="I750" s="1468"/>
      <c r="J750" s="1468"/>
      <c r="K750" s="1468"/>
      <c r="L750" s="1468"/>
      <c r="M750" s="1468"/>
      <c r="N750" s="1468"/>
      <c r="O750" s="1468"/>
      <c r="P750" s="1468"/>
      <c r="Q750" s="1468"/>
      <c r="R750" s="1468"/>
      <c r="S750" s="1468"/>
      <c r="T750" s="1468"/>
      <c r="U750" s="1468"/>
      <c r="V750" s="1468"/>
      <c r="W750" s="1468"/>
      <c r="X750" s="1468"/>
      <c r="Y750" s="1468"/>
      <c r="Z750" s="1468"/>
      <c r="AA750" s="1468"/>
      <c r="AB750" s="1468"/>
      <c r="AC750" s="1468"/>
      <c r="AD750" s="1468"/>
      <c r="AE750" s="1468"/>
      <c r="AF750" s="1468"/>
      <c r="AG750" s="1468"/>
      <c r="AH750" s="1468"/>
      <c r="AI750" s="1468"/>
      <c r="AJ750" s="1468"/>
      <c r="AK750" s="1468"/>
      <c r="AL750" s="1468"/>
      <c r="AM750" s="1468"/>
    </row>
    <row r="751" spans="2:49" ht="11.25">
      <c r="B751" s="546"/>
      <c r="C751" s="717"/>
      <c r="D751" s="546"/>
      <c r="E751" s="543"/>
      <c r="F751" s="546"/>
      <c r="G751" s="626"/>
      <c r="H751" s="758"/>
      <c r="I751" s="458"/>
      <c r="J751" s="458"/>
      <c r="K751" s="458"/>
      <c r="L751" s="458"/>
      <c r="M751" s="458"/>
      <c r="N751" s="458"/>
      <c r="O751" s="458"/>
      <c r="P751" s="458"/>
      <c r="Q751" s="458"/>
      <c r="R751" s="458"/>
      <c r="S751" s="458"/>
      <c r="T751" s="458"/>
      <c r="U751" s="458"/>
      <c r="V751" s="458"/>
      <c r="W751" s="458"/>
      <c r="X751" s="458"/>
      <c r="Y751" s="458"/>
      <c r="Z751" s="459"/>
      <c r="AA751" s="458"/>
      <c r="AB751" s="458"/>
      <c r="AC751" s="458"/>
      <c r="AD751" s="458"/>
      <c r="AE751" s="458"/>
      <c r="AF751" s="458"/>
      <c r="AG751" s="458"/>
      <c r="AH751" s="458"/>
      <c r="AI751" s="458"/>
      <c r="AJ751" s="458"/>
      <c r="AK751" s="458"/>
      <c r="AL751" s="458"/>
      <c r="AM751" s="458"/>
    </row>
    <row r="752" spans="2:49" ht="11.25">
      <c r="B752" s="17"/>
      <c r="C752" s="724"/>
      <c r="D752" s="17"/>
      <c r="E752" s="542"/>
      <c r="F752" s="724"/>
      <c r="G752" s="530"/>
      <c r="H752" s="758"/>
      <c r="I752" s="458"/>
      <c r="J752" s="458"/>
      <c r="K752" s="458"/>
      <c r="L752" s="458"/>
      <c r="M752" s="458"/>
      <c r="N752" s="458"/>
      <c r="O752" s="458"/>
      <c r="P752" s="458"/>
      <c r="Q752" s="458"/>
      <c r="R752" s="458"/>
      <c r="S752" s="458"/>
      <c r="T752" s="458"/>
      <c r="U752" s="458"/>
      <c r="V752" s="458"/>
      <c r="W752" s="458"/>
      <c r="X752" s="458"/>
      <c r="Y752" s="458"/>
      <c r="Z752" s="459"/>
      <c r="AA752" s="458"/>
      <c r="AB752" s="458"/>
      <c r="AC752" s="458"/>
      <c r="AD752" s="458"/>
      <c r="AE752" s="458"/>
      <c r="AF752" s="458"/>
      <c r="AG752" s="458"/>
      <c r="AH752" s="458"/>
      <c r="AI752" s="458"/>
      <c r="AJ752" s="458"/>
      <c r="AK752" s="458"/>
      <c r="AL752" s="458"/>
      <c r="AM752" s="458"/>
    </row>
    <row r="753" spans="2:39" ht="12" thickBot="1">
      <c r="B753" s="544"/>
      <c r="C753" s="718"/>
      <c r="D753" s="544"/>
      <c r="E753" s="12"/>
      <c r="F753" s="718"/>
      <c r="G753" s="533"/>
      <c r="H753" s="758"/>
      <c r="I753" s="458"/>
      <c r="J753" s="458"/>
      <c r="K753" s="458"/>
      <c r="L753" s="458"/>
      <c r="M753" s="458"/>
      <c r="N753" s="458"/>
      <c r="O753" s="458"/>
      <c r="P753" s="458"/>
      <c r="Q753" s="458"/>
      <c r="R753" s="458"/>
      <c r="S753" s="458"/>
      <c r="T753" s="458"/>
      <c r="U753" s="458"/>
      <c r="V753" s="458"/>
      <c r="W753" s="458"/>
      <c r="X753" s="458"/>
      <c r="Y753" s="458"/>
      <c r="Z753" s="459"/>
      <c r="AA753" s="458"/>
      <c r="AB753" s="458"/>
      <c r="AC753" s="458"/>
      <c r="AD753" s="458"/>
      <c r="AE753" s="458"/>
      <c r="AF753" s="458"/>
      <c r="AG753" s="458"/>
      <c r="AH753" s="458"/>
      <c r="AI753" s="458"/>
      <c r="AJ753" s="458"/>
      <c r="AK753" s="458"/>
      <c r="AL753" s="458"/>
      <c r="AM753" s="458"/>
    </row>
    <row r="754" spans="2:39">
      <c r="H754" s="650"/>
      <c r="I754" s="650"/>
      <c r="J754" s="650"/>
      <c r="K754" s="650"/>
      <c r="L754" s="650"/>
      <c r="M754" s="650"/>
      <c r="N754" s="650"/>
      <c r="O754" s="650"/>
      <c r="P754" s="650"/>
      <c r="Q754" s="650"/>
      <c r="R754" s="650"/>
      <c r="S754" s="650"/>
      <c r="T754" s="650"/>
      <c r="U754" s="650"/>
      <c r="V754" s="650"/>
      <c r="W754" s="650"/>
      <c r="X754" s="650"/>
      <c r="Y754" s="650"/>
      <c r="Z754" s="650"/>
      <c r="AA754" s="650"/>
      <c r="AB754" s="650"/>
      <c r="AC754" s="650"/>
      <c r="AD754" s="650"/>
      <c r="AE754" s="650"/>
      <c r="AF754" s="650"/>
      <c r="AG754" s="650"/>
      <c r="AH754" s="650"/>
      <c r="AI754" s="650"/>
      <c r="AJ754" s="650"/>
      <c r="AK754" s="650"/>
      <c r="AL754" s="650"/>
      <c r="AM754" s="650"/>
    </row>
    <row r="755" spans="2:39" ht="11.25" customHeight="1">
      <c r="B755" s="1436" t="s">
        <v>624</v>
      </c>
      <c r="C755" s="1436"/>
      <c r="D755" s="1436"/>
      <c r="H755" s="650"/>
      <c r="I755" s="650"/>
      <c r="J755" s="650"/>
      <c r="K755" s="650"/>
      <c r="L755" s="650"/>
      <c r="M755" s="650"/>
      <c r="N755" s="650"/>
      <c r="O755" s="650"/>
      <c r="P755" s="650"/>
      <c r="Q755" s="650"/>
      <c r="R755" s="650"/>
      <c r="S755" s="650"/>
      <c r="T755" s="650"/>
      <c r="U755" s="650"/>
      <c r="V755" s="650"/>
      <c r="W755" s="650"/>
      <c r="X755" s="650"/>
      <c r="Y755" s="650"/>
      <c r="Z755" s="650"/>
      <c r="AA755" s="650"/>
      <c r="AB755" s="650"/>
      <c r="AC755" s="650"/>
      <c r="AD755" s="650"/>
      <c r="AE755" s="650"/>
      <c r="AF755" s="650"/>
      <c r="AG755" s="650"/>
      <c r="AH755" s="650"/>
      <c r="AI755" s="650"/>
      <c r="AJ755" s="650"/>
      <c r="AK755" s="650"/>
      <c r="AL755" s="650"/>
      <c r="AM755" s="650"/>
    </row>
    <row r="756" spans="2:39" ht="12" thickBot="1">
      <c r="F756" s="1442" t="s">
        <v>1180</v>
      </c>
      <c r="G756" s="1442"/>
      <c r="H756" s="650"/>
      <c r="I756" s="650"/>
      <c r="J756" s="650"/>
      <c r="K756" s="650"/>
      <c r="L756" s="650"/>
      <c r="M756" s="650"/>
      <c r="N756" s="650"/>
      <c r="O756" s="650"/>
      <c r="P756" s="650"/>
      <c r="Q756" s="650"/>
      <c r="R756" s="650"/>
      <c r="S756" s="650"/>
      <c r="T756" s="650"/>
      <c r="U756" s="650"/>
      <c r="V756" s="650"/>
      <c r="W756" s="650"/>
      <c r="X756" s="650"/>
      <c r="Y756" s="650"/>
      <c r="Z756" s="650"/>
      <c r="AA756" s="650"/>
      <c r="AB756" s="650"/>
      <c r="AC756" s="650"/>
      <c r="AD756" s="650"/>
      <c r="AE756" s="650"/>
      <c r="AF756" s="650"/>
      <c r="AG756" s="650"/>
      <c r="AH756" s="650"/>
      <c r="AI756" s="650"/>
      <c r="AJ756" s="650"/>
      <c r="AK756" s="650"/>
      <c r="AL756" s="650"/>
      <c r="AM756" s="650"/>
    </row>
    <row r="757" spans="2:39" ht="11.25" customHeight="1" thickBot="1">
      <c r="B757" s="120"/>
      <c r="C757" s="19"/>
      <c r="D757" s="1431" t="s">
        <v>1231</v>
      </c>
      <c r="E757" s="1432"/>
      <c r="F757" s="1433" t="s">
        <v>1206</v>
      </c>
      <c r="G757" s="1432"/>
      <c r="H757" s="1538"/>
      <c r="I757" s="1468"/>
      <c r="J757" s="1468"/>
      <c r="K757" s="1468"/>
      <c r="L757" s="1468"/>
      <c r="M757" s="1468"/>
      <c r="N757" s="1468"/>
      <c r="O757" s="1468"/>
      <c r="P757" s="1468"/>
      <c r="Q757" s="1468"/>
      <c r="R757" s="1468"/>
      <c r="S757" s="1468"/>
      <c r="T757" s="1468"/>
      <c r="U757" s="1468"/>
      <c r="V757" s="1468"/>
      <c r="W757" s="1468"/>
      <c r="X757" s="1468"/>
      <c r="Y757" s="1468"/>
      <c r="Z757" s="1468"/>
      <c r="AA757" s="1468"/>
      <c r="AB757" s="1468"/>
      <c r="AC757" s="1468"/>
      <c r="AD757" s="1468"/>
      <c r="AE757" s="1468"/>
      <c r="AF757" s="1468"/>
      <c r="AG757" s="1468"/>
      <c r="AH757" s="1468"/>
      <c r="AI757" s="1468"/>
      <c r="AJ757" s="1468"/>
      <c r="AK757" s="1468"/>
      <c r="AL757" s="1468"/>
      <c r="AM757" s="1468"/>
    </row>
    <row r="758" spans="2:39" ht="11.25">
      <c r="B758" s="260" t="s">
        <v>291</v>
      </c>
      <c r="C758" s="717"/>
      <c r="D758" s="546"/>
      <c r="E758" s="543">
        <f>'BS &amp; Notes 2014-15'!E792</f>
        <v>0</v>
      </c>
      <c r="F758" s="546"/>
      <c r="G758" s="543"/>
      <c r="H758" s="758"/>
      <c r="I758" s="458"/>
      <c r="J758" s="458"/>
      <c r="K758" s="458"/>
      <c r="L758" s="458"/>
      <c r="M758" s="458"/>
      <c r="N758" s="458"/>
      <c r="O758" s="458"/>
      <c r="P758" s="458"/>
      <c r="Q758" s="458"/>
      <c r="R758" s="458"/>
      <c r="S758" s="458"/>
      <c r="T758" s="458"/>
      <c r="U758" s="458"/>
      <c r="V758" s="458"/>
      <c r="W758" s="458"/>
      <c r="X758" s="458"/>
      <c r="Y758" s="458"/>
      <c r="Z758" s="459"/>
      <c r="AA758" s="458"/>
      <c r="AB758" s="458"/>
      <c r="AC758" s="458"/>
      <c r="AD758" s="458"/>
      <c r="AE758" s="458"/>
      <c r="AF758" s="458"/>
      <c r="AG758" s="458"/>
      <c r="AH758" s="458"/>
      <c r="AI758" s="458"/>
      <c r="AJ758" s="458"/>
      <c r="AK758" s="458"/>
      <c r="AL758" s="458"/>
      <c r="AM758" s="458"/>
    </row>
    <row r="759" spans="2:39" ht="11.25">
      <c r="B759" s="17"/>
      <c r="C759" s="724"/>
      <c r="D759" s="17"/>
      <c r="E759" s="542"/>
      <c r="F759" s="724"/>
      <c r="G759" s="530"/>
      <c r="H759" s="758"/>
      <c r="I759" s="458"/>
      <c r="J759" s="458"/>
      <c r="K759" s="458"/>
      <c r="L759" s="458"/>
      <c r="M759" s="458"/>
      <c r="N759" s="458"/>
      <c r="O759" s="458"/>
      <c r="P759" s="458"/>
      <c r="Q759" s="458"/>
      <c r="R759" s="458"/>
      <c r="S759" s="458"/>
      <c r="T759" s="458"/>
      <c r="U759" s="458"/>
      <c r="V759" s="458"/>
      <c r="W759" s="458"/>
      <c r="X759" s="458"/>
      <c r="Y759" s="458"/>
      <c r="Z759" s="459"/>
      <c r="AA759" s="458"/>
      <c r="AB759" s="458"/>
      <c r="AC759" s="458"/>
      <c r="AD759" s="458"/>
      <c r="AE759" s="458"/>
      <c r="AF759" s="458"/>
      <c r="AG759" s="458"/>
      <c r="AH759" s="458"/>
      <c r="AI759" s="458"/>
      <c r="AJ759" s="458"/>
      <c r="AK759" s="458"/>
      <c r="AL759" s="458"/>
      <c r="AM759" s="458"/>
    </row>
    <row r="760" spans="2:39" ht="12" thickBot="1">
      <c r="B760" s="544"/>
      <c r="C760" s="718"/>
      <c r="D760" s="544"/>
      <c r="E760" s="12"/>
      <c r="F760" s="718"/>
      <c r="G760" s="533"/>
      <c r="H760" s="758"/>
      <c r="I760" s="458"/>
      <c r="J760" s="458"/>
      <c r="K760" s="458"/>
      <c r="L760" s="458"/>
      <c r="M760" s="458"/>
      <c r="N760" s="458"/>
      <c r="O760" s="458"/>
      <c r="P760" s="458"/>
      <c r="Q760" s="458"/>
      <c r="R760" s="458"/>
      <c r="S760" s="458"/>
      <c r="T760" s="458"/>
      <c r="U760" s="458"/>
      <c r="V760" s="458"/>
      <c r="W760" s="458"/>
      <c r="X760" s="458"/>
      <c r="Y760" s="458"/>
      <c r="Z760" s="459"/>
      <c r="AA760" s="458"/>
      <c r="AB760" s="458"/>
      <c r="AC760" s="458"/>
      <c r="AD760" s="458"/>
      <c r="AE760" s="458"/>
      <c r="AF760" s="458"/>
      <c r="AG760" s="458"/>
      <c r="AH760" s="458"/>
      <c r="AI760" s="458"/>
      <c r="AJ760" s="458"/>
      <c r="AK760" s="458"/>
      <c r="AL760" s="458"/>
      <c r="AM760" s="458"/>
    </row>
    <row r="761" spans="2:39" ht="11.25">
      <c r="H761" s="458"/>
      <c r="I761" s="458"/>
      <c r="J761" s="458"/>
      <c r="K761" s="458"/>
      <c r="L761" s="458"/>
      <c r="M761" s="458"/>
      <c r="N761" s="458"/>
      <c r="O761" s="458"/>
      <c r="P761" s="458"/>
      <c r="Q761" s="458"/>
      <c r="R761" s="458"/>
      <c r="S761" s="458"/>
      <c r="T761" s="458"/>
      <c r="U761" s="458"/>
      <c r="V761" s="458"/>
      <c r="W761" s="458"/>
      <c r="X761" s="458"/>
      <c r="Y761" s="458"/>
      <c r="Z761" s="459"/>
      <c r="AA761" s="458"/>
      <c r="AB761" s="458"/>
      <c r="AC761" s="458"/>
      <c r="AD761" s="458"/>
      <c r="AE761" s="458"/>
      <c r="AF761" s="458"/>
      <c r="AG761" s="458"/>
      <c r="AH761" s="458"/>
      <c r="AI761" s="458"/>
      <c r="AJ761" s="458"/>
      <c r="AK761" s="458"/>
      <c r="AL761" s="458"/>
      <c r="AM761" s="458"/>
    </row>
    <row r="762" spans="2:39" ht="11.25">
      <c r="B762" s="103" t="s">
        <v>1022</v>
      </c>
      <c r="H762" s="458"/>
      <c r="I762" s="458"/>
      <c r="J762" s="458"/>
      <c r="K762" s="458"/>
      <c r="L762" s="458"/>
      <c r="M762" s="458"/>
      <c r="N762" s="458"/>
      <c r="O762" s="458"/>
      <c r="P762" s="458"/>
      <c r="Q762" s="458"/>
      <c r="R762" s="458"/>
      <c r="S762" s="458"/>
      <c r="T762" s="458"/>
      <c r="U762" s="458"/>
      <c r="V762" s="458"/>
      <c r="W762" s="458"/>
      <c r="X762" s="458"/>
      <c r="Y762" s="458"/>
      <c r="Z762" s="459"/>
      <c r="AA762" s="458"/>
      <c r="AB762" s="458"/>
      <c r="AC762" s="458"/>
      <c r="AD762" s="458"/>
      <c r="AE762" s="458"/>
      <c r="AF762" s="458"/>
      <c r="AG762" s="458"/>
      <c r="AH762" s="458"/>
      <c r="AI762" s="458"/>
      <c r="AJ762" s="458"/>
      <c r="AK762" s="458"/>
      <c r="AL762" s="458"/>
      <c r="AM762" s="458"/>
    </row>
    <row r="763" spans="2:39" ht="12" thickBot="1">
      <c r="F763" s="1442" t="s">
        <v>1180</v>
      </c>
      <c r="G763" s="1442"/>
      <c r="H763" s="458"/>
      <c r="I763" s="458"/>
      <c r="J763" s="458"/>
      <c r="K763" s="802"/>
      <c r="L763" s="458"/>
      <c r="M763" s="458"/>
      <c r="N763" s="458"/>
      <c r="O763" s="458"/>
      <c r="P763" s="458"/>
      <c r="Q763" s="458"/>
      <c r="R763" s="458"/>
      <c r="S763" s="458"/>
      <c r="T763" s="458"/>
      <c r="U763" s="458"/>
      <c r="V763" s="458"/>
      <c r="W763" s="458"/>
      <c r="X763" s="458"/>
      <c r="Y763" s="458"/>
      <c r="Z763" s="459"/>
      <c r="AA763" s="458"/>
      <c r="AB763" s="458"/>
      <c r="AC763" s="458"/>
      <c r="AD763" s="458"/>
      <c r="AE763" s="458"/>
      <c r="AF763" s="458"/>
      <c r="AG763" s="458"/>
      <c r="AH763" s="458"/>
      <c r="AI763" s="458"/>
      <c r="AJ763" s="458"/>
      <c r="AK763" s="458"/>
      <c r="AL763" s="458"/>
      <c r="AM763" s="458"/>
    </row>
    <row r="764" spans="2:39" ht="11.25" customHeight="1" thickBot="1">
      <c r="B764" s="174"/>
      <c r="C764" s="19"/>
      <c r="D764" s="1431" t="s">
        <v>1231</v>
      </c>
      <c r="E764" s="1432"/>
      <c r="F764" s="1433" t="s">
        <v>1206</v>
      </c>
      <c r="G764" s="1432"/>
      <c r="H764" s="1538"/>
      <c r="I764" s="1468"/>
      <c r="J764" s="1468"/>
      <c r="K764" s="1468"/>
      <c r="L764" s="1468"/>
      <c r="M764" s="1468"/>
      <c r="N764" s="1468"/>
      <c r="O764" s="1468"/>
      <c r="P764" s="1468"/>
      <c r="Q764" s="1468"/>
      <c r="R764" s="1468"/>
      <c r="S764" s="1468"/>
      <c r="T764" s="1468"/>
      <c r="U764" s="1468"/>
      <c r="V764" s="1468"/>
      <c r="W764" s="1468"/>
      <c r="X764" s="1468"/>
      <c r="Y764" s="1468"/>
      <c r="Z764" s="1468"/>
      <c r="AA764" s="1468"/>
      <c r="AB764" s="1468"/>
      <c r="AC764" s="1468"/>
      <c r="AD764" s="1468"/>
      <c r="AE764" s="1468"/>
      <c r="AF764" s="1468"/>
      <c r="AG764" s="1468"/>
      <c r="AH764" s="1468"/>
      <c r="AI764" s="1468"/>
      <c r="AJ764" s="1468"/>
      <c r="AK764" s="1468"/>
      <c r="AL764" s="1468"/>
      <c r="AM764" s="1468"/>
    </row>
    <row r="765" spans="2:39" ht="11.25">
      <c r="B765" s="171" t="s">
        <v>286</v>
      </c>
      <c r="C765" s="717"/>
      <c r="D765" s="546"/>
      <c r="E765" s="543">
        <f>'BS &amp; Notes 2014-15'!E799</f>
        <v>2753925</v>
      </c>
      <c r="F765" s="717"/>
      <c r="G765" s="543">
        <f>'BS &amp; Notes 2013-14'!E797</f>
        <v>0</v>
      </c>
      <c r="H765" s="758"/>
      <c r="I765" s="458"/>
      <c r="J765" s="458"/>
      <c r="K765" s="458"/>
      <c r="L765" s="458"/>
      <c r="M765" s="458"/>
      <c r="N765" s="458"/>
      <c r="O765" s="458"/>
      <c r="P765" s="458"/>
      <c r="Q765" s="458"/>
      <c r="R765" s="458"/>
      <c r="S765" s="458"/>
      <c r="T765" s="458"/>
      <c r="U765" s="458"/>
      <c r="V765" s="458"/>
      <c r="W765" s="458"/>
      <c r="X765" s="458"/>
      <c r="Y765" s="458"/>
      <c r="Z765" s="459"/>
      <c r="AA765" s="458"/>
      <c r="AB765" s="458"/>
      <c r="AC765" s="458"/>
      <c r="AD765" s="458"/>
      <c r="AE765" s="458"/>
      <c r="AF765" s="458"/>
      <c r="AG765" s="458"/>
      <c r="AH765" s="458"/>
      <c r="AI765" s="458"/>
      <c r="AJ765" s="458"/>
      <c r="AK765" s="458"/>
      <c r="AL765" s="458"/>
      <c r="AM765" s="458"/>
    </row>
    <row r="766" spans="2:39" ht="11.25">
      <c r="B766" s="171" t="s">
        <v>287</v>
      </c>
      <c r="C766" s="724"/>
      <c r="D766" s="17"/>
      <c r="E766" s="542">
        <f>'BS &amp; Notes 2014-15'!E800</f>
        <v>1376963</v>
      </c>
      <c r="F766" s="724"/>
      <c r="G766" s="542">
        <f>'BS &amp; Notes 2013-14'!E798</f>
        <v>0</v>
      </c>
      <c r="H766" s="758"/>
      <c r="I766" s="458"/>
      <c r="J766" s="458"/>
      <c r="K766" s="458"/>
      <c r="L766" s="458"/>
      <c r="M766" s="458"/>
      <c r="N766" s="458"/>
      <c r="O766" s="458"/>
      <c r="P766" s="458"/>
      <c r="Q766" s="458"/>
      <c r="R766" s="458"/>
      <c r="S766" s="458"/>
      <c r="T766" s="458"/>
      <c r="U766" s="458"/>
      <c r="V766" s="458"/>
      <c r="W766" s="458"/>
      <c r="X766" s="458"/>
      <c r="Y766" s="458"/>
      <c r="Z766" s="459"/>
      <c r="AA766" s="458"/>
      <c r="AB766" s="458"/>
      <c r="AC766" s="458"/>
      <c r="AD766" s="458"/>
      <c r="AE766" s="458"/>
      <c r="AF766" s="458"/>
      <c r="AG766" s="458"/>
      <c r="AH766" s="458"/>
      <c r="AI766" s="458"/>
      <c r="AJ766" s="458"/>
      <c r="AK766" s="458"/>
      <c r="AL766" s="458"/>
      <c r="AM766" s="458"/>
    </row>
    <row r="767" spans="2:39" ht="11.25">
      <c r="B767" s="171" t="s">
        <v>288</v>
      </c>
      <c r="C767" s="724"/>
      <c r="D767" s="17"/>
      <c r="E767" s="542">
        <f>'BS &amp; Notes 2014-15'!E801</f>
        <v>0</v>
      </c>
      <c r="F767" s="529"/>
      <c r="G767" s="542">
        <f>'BS &amp; Notes 2013-14'!E799</f>
        <v>0</v>
      </c>
      <c r="H767" s="758"/>
      <c r="I767" s="458"/>
      <c r="J767" s="458"/>
      <c r="K767" s="458"/>
      <c r="L767" s="458"/>
      <c r="M767" s="458"/>
      <c r="N767" s="458"/>
      <c r="O767" s="458"/>
      <c r="P767" s="458"/>
      <c r="Q767" s="458"/>
      <c r="R767" s="458"/>
      <c r="S767" s="458"/>
      <c r="T767" s="458"/>
      <c r="U767" s="458"/>
      <c r="V767" s="458"/>
      <c r="W767" s="458"/>
      <c r="X767" s="458"/>
      <c r="Y767" s="458"/>
      <c r="Z767" s="459"/>
      <c r="AA767" s="458"/>
      <c r="AB767" s="458"/>
      <c r="AC767" s="458"/>
      <c r="AD767" s="458"/>
      <c r="AE767" s="458"/>
      <c r="AF767" s="458"/>
      <c r="AG767" s="458"/>
      <c r="AH767" s="458"/>
      <c r="AI767" s="458"/>
      <c r="AJ767" s="458"/>
      <c r="AK767" s="458"/>
      <c r="AL767" s="458"/>
      <c r="AM767" s="458"/>
    </row>
    <row r="768" spans="2:39" ht="11.25">
      <c r="B768" s="171" t="s">
        <v>289</v>
      </c>
      <c r="C768" s="724"/>
      <c r="D768" s="17"/>
      <c r="E768" s="542">
        <f>'BS &amp; Notes 2014-15'!E802</f>
        <v>0</v>
      </c>
      <c r="F768" s="529"/>
      <c r="G768" s="542">
        <f>'BS &amp; Notes 2013-14'!E800</f>
        <v>0</v>
      </c>
      <c r="H768" s="758"/>
      <c r="I768" s="458"/>
      <c r="J768" s="458"/>
      <c r="K768" s="458"/>
      <c r="L768" s="458"/>
      <c r="M768" s="458"/>
      <c r="N768" s="458"/>
      <c r="O768" s="458"/>
      <c r="P768" s="458"/>
      <c r="Q768" s="458"/>
      <c r="R768" s="458"/>
      <c r="S768" s="458"/>
      <c r="T768" s="458"/>
      <c r="U768" s="458"/>
      <c r="V768" s="458"/>
      <c r="W768" s="458"/>
      <c r="X768" s="458"/>
      <c r="Y768" s="458"/>
      <c r="Z768" s="459"/>
      <c r="AA768" s="458"/>
      <c r="AB768" s="458"/>
      <c r="AC768" s="458"/>
      <c r="AD768" s="458"/>
      <c r="AE768" s="458"/>
      <c r="AF768" s="458"/>
      <c r="AG768" s="458"/>
      <c r="AH768" s="458"/>
      <c r="AI768" s="458"/>
      <c r="AJ768" s="458"/>
      <c r="AK768" s="458"/>
      <c r="AL768" s="458"/>
      <c r="AM768" s="458"/>
    </row>
    <row r="769" spans="2:39" ht="11.25">
      <c r="B769" s="171" t="s">
        <v>290</v>
      </c>
      <c r="C769" s="724"/>
      <c r="D769" s="17"/>
      <c r="E769" s="542">
        <f>'BS &amp; Notes 2014-15'!E803</f>
        <v>1655541</v>
      </c>
      <c r="F769" s="724"/>
      <c r="G769" s="542">
        <f>'BS &amp; Notes 2013-14'!E801</f>
        <v>0</v>
      </c>
      <c r="H769" s="758"/>
      <c r="I769" s="458"/>
      <c r="J769" s="458"/>
      <c r="K769" s="458"/>
      <c r="L769" s="458"/>
      <c r="M769" s="458"/>
      <c r="N769" s="458"/>
      <c r="O769" s="458"/>
      <c r="P769" s="458"/>
      <c r="Q769" s="458"/>
      <c r="R769" s="458"/>
      <c r="S769" s="458"/>
      <c r="T769" s="458"/>
      <c r="U769" s="458"/>
      <c r="V769" s="458"/>
      <c r="W769" s="458"/>
      <c r="X769" s="458"/>
      <c r="Y769" s="458"/>
      <c r="Z769" s="459"/>
      <c r="AA769" s="458"/>
      <c r="AB769" s="458"/>
      <c r="AC769" s="458"/>
      <c r="AD769" s="458"/>
      <c r="AE769" s="458"/>
      <c r="AF769" s="458"/>
      <c r="AG769" s="458"/>
      <c r="AH769" s="458"/>
      <c r="AI769" s="458"/>
      <c r="AJ769" s="458"/>
      <c r="AK769" s="458"/>
      <c r="AL769" s="458"/>
      <c r="AM769" s="458"/>
    </row>
    <row r="770" spans="2:39" ht="12" thickBot="1">
      <c r="B770" s="171" t="s">
        <v>292</v>
      </c>
      <c r="C770" s="724"/>
      <c r="D770" s="17"/>
      <c r="E770" s="745">
        <f>'BS &amp; Notes 2014-15'!E804</f>
        <v>46293</v>
      </c>
      <c r="F770" s="724"/>
      <c r="G770" s="12">
        <f>'BS &amp; Notes 2013-14'!E802</f>
        <v>0</v>
      </c>
      <c r="H770" s="758"/>
      <c r="I770" s="458"/>
      <c r="J770" s="458"/>
      <c r="K770" s="458"/>
      <c r="L770" s="458"/>
      <c r="M770" s="458"/>
      <c r="N770" s="458"/>
      <c r="O770" s="458"/>
      <c r="P770" s="458"/>
      <c r="Q770" s="458"/>
      <c r="R770" s="458"/>
      <c r="S770" s="458"/>
      <c r="T770" s="458"/>
      <c r="U770" s="458"/>
      <c r="V770" s="458"/>
      <c r="W770" s="458"/>
      <c r="X770" s="458"/>
      <c r="Y770" s="458"/>
      <c r="Z770" s="459"/>
      <c r="AA770" s="458"/>
      <c r="AB770" s="458"/>
      <c r="AC770" s="458"/>
      <c r="AD770" s="458"/>
      <c r="AE770" s="458"/>
      <c r="AF770" s="458"/>
      <c r="AG770" s="458"/>
      <c r="AH770" s="458"/>
      <c r="AI770" s="458"/>
      <c r="AJ770" s="458"/>
      <c r="AK770" s="458"/>
      <c r="AL770" s="458"/>
      <c r="AM770" s="458"/>
    </row>
    <row r="771" spans="2:39" ht="12" thickBot="1">
      <c r="B771" s="152" t="s">
        <v>806</v>
      </c>
      <c r="C771" s="718"/>
      <c r="D771" s="544"/>
      <c r="E771" s="4">
        <f>SUM(E765:E770)</f>
        <v>5832722</v>
      </c>
      <c r="F771" s="715"/>
      <c r="G771" s="4">
        <f>SUM(G765:G770)</f>
        <v>0</v>
      </c>
      <c r="H771" s="758"/>
      <c r="I771" s="458"/>
      <c r="J771" s="458"/>
      <c r="K771" s="458"/>
      <c r="L771" s="458"/>
      <c r="M771" s="458"/>
      <c r="N771" s="458"/>
      <c r="O771" s="458"/>
      <c r="P771" s="458"/>
      <c r="Q771" s="458"/>
      <c r="R771" s="458"/>
      <c r="S771" s="458"/>
      <c r="T771" s="458"/>
      <c r="U771" s="458"/>
      <c r="V771" s="458"/>
      <c r="W771" s="458"/>
      <c r="X771" s="458"/>
      <c r="Y771" s="458"/>
      <c r="Z771" s="458"/>
      <c r="AA771" s="458"/>
      <c r="AB771" s="458"/>
      <c r="AC771" s="458"/>
      <c r="AD771" s="458"/>
      <c r="AE771" s="458"/>
      <c r="AF771" s="458"/>
      <c r="AG771" s="458"/>
      <c r="AH771" s="458"/>
      <c r="AI771" s="458"/>
      <c r="AJ771" s="458"/>
      <c r="AK771" s="458"/>
      <c r="AL771" s="458"/>
      <c r="AM771" s="458"/>
    </row>
    <row r="772" spans="2:39" ht="11.25">
      <c r="H772" s="458"/>
      <c r="I772" s="458"/>
      <c r="J772" s="458"/>
      <c r="K772" s="458"/>
      <c r="L772" s="458"/>
      <c r="M772" s="458"/>
      <c r="N772" s="458"/>
      <c r="O772" s="458"/>
      <c r="P772" s="458"/>
      <c r="Q772" s="458"/>
      <c r="R772" s="458"/>
      <c r="S772" s="458"/>
      <c r="T772" s="458"/>
      <c r="U772" s="458"/>
      <c r="V772" s="458"/>
      <c r="W772" s="458"/>
      <c r="X772" s="458"/>
      <c r="Y772" s="458"/>
      <c r="Z772" s="459"/>
      <c r="AA772" s="458"/>
      <c r="AB772" s="458"/>
      <c r="AC772" s="458"/>
      <c r="AD772" s="458"/>
      <c r="AE772" s="458"/>
      <c r="AF772" s="458"/>
      <c r="AG772" s="458"/>
      <c r="AH772" s="458"/>
      <c r="AI772" s="458"/>
      <c r="AJ772" s="458"/>
      <c r="AK772" s="458"/>
      <c r="AL772" s="458"/>
      <c r="AM772" s="458"/>
    </row>
    <row r="773" spans="2:39" ht="11.25">
      <c r="B773" s="103" t="s">
        <v>1024</v>
      </c>
      <c r="H773" s="458"/>
      <c r="I773" s="458"/>
      <c r="J773" s="458"/>
      <c r="K773" s="458"/>
      <c r="L773" s="458"/>
      <c r="M773" s="458"/>
      <c r="N773" s="458"/>
      <c r="O773" s="458"/>
      <c r="P773" s="458"/>
      <c r="Q773" s="458"/>
      <c r="R773" s="458"/>
      <c r="S773" s="458"/>
      <c r="T773" s="458"/>
      <c r="U773" s="458"/>
      <c r="V773" s="458"/>
      <c r="W773" s="458"/>
      <c r="X773" s="458"/>
      <c r="Y773" s="458"/>
      <c r="Z773" s="459"/>
      <c r="AA773" s="458"/>
      <c r="AB773" s="458"/>
      <c r="AC773" s="458"/>
      <c r="AD773" s="458"/>
      <c r="AE773" s="458"/>
      <c r="AF773" s="458"/>
      <c r="AG773" s="458"/>
      <c r="AH773" s="458"/>
      <c r="AI773" s="458"/>
      <c r="AJ773" s="458"/>
      <c r="AK773" s="458"/>
      <c r="AL773" s="458"/>
      <c r="AM773" s="458"/>
    </row>
    <row r="774" spans="2:39" ht="12" thickBot="1">
      <c r="F774" s="1442" t="s">
        <v>1180</v>
      </c>
      <c r="G774" s="1442"/>
      <c r="H774" s="458"/>
      <c r="I774" s="458"/>
      <c r="J774" s="458"/>
      <c r="K774" s="802"/>
      <c r="L774" s="458"/>
      <c r="M774" s="458"/>
      <c r="N774" s="458"/>
      <c r="O774" s="458"/>
      <c r="P774" s="458"/>
      <c r="Q774" s="458"/>
      <c r="R774" s="458"/>
      <c r="S774" s="458"/>
      <c r="T774" s="458"/>
      <c r="U774" s="458"/>
      <c r="V774" s="458"/>
      <c r="W774" s="458"/>
      <c r="X774" s="458"/>
      <c r="Y774" s="458"/>
      <c r="Z774" s="459"/>
      <c r="AA774" s="458"/>
      <c r="AB774" s="458"/>
      <c r="AC774" s="458"/>
      <c r="AD774" s="458"/>
      <c r="AE774" s="458"/>
      <c r="AF774" s="458"/>
      <c r="AG774" s="458"/>
      <c r="AH774" s="458"/>
      <c r="AI774" s="458"/>
      <c r="AJ774" s="458"/>
      <c r="AK774" s="458"/>
      <c r="AL774" s="458"/>
      <c r="AM774" s="458"/>
    </row>
    <row r="775" spans="2:39" ht="11.25" customHeight="1" thickBot="1">
      <c r="B775" s="120"/>
      <c r="C775" s="19"/>
      <c r="D775" s="1431" t="s">
        <v>1231</v>
      </c>
      <c r="E775" s="1432"/>
      <c r="F775" s="1433" t="s">
        <v>1206</v>
      </c>
      <c r="G775" s="1432"/>
      <c r="H775" s="1538"/>
      <c r="I775" s="1468"/>
      <c r="J775" s="1468"/>
      <c r="K775" s="1468"/>
      <c r="L775" s="1468"/>
      <c r="M775" s="1468"/>
      <c r="N775" s="1468"/>
      <c r="O775" s="1468"/>
      <c r="P775" s="1468"/>
      <c r="Q775" s="1468"/>
      <c r="R775" s="1468"/>
      <c r="S775" s="1468"/>
      <c r="T775" s="1468"/>
      <c r="U775" s="1468"/>
      <c r="V775" s="1468"/>
      <c r="W775" s="1468"/>
      <c r="X775" s="1468"/>
      <c r="Y775" s="1468"/>
      <c r="Z775" s="1468"/>
      <c r="AA775" s="1468"/>
      <c r="AB775" s="1468"/>
      <c r="AC775" s="1468"/>
      <c r="AD775" s="1468"/>
      <c r="AE775" s="1468"/>
      <c r="AF775" s="1468"/>
      <c r="AG775" s="1468"/>
      <c r="AH775" s="1468"/>
      <c r="AI775" s="1468"/>
      <c r="AJ775" s="1468"/>
      <c r="AK775" s="1468"/>
      <c r="AL775" s="1468"/>
      <c r="AM775" s="1468"/>
    </row>
    <row r="776" spans="2:39" ht="11.25">
      <c r="B776" s="126" t="s">
        <v>294</v>
      </c>
      <c r="C776" s="717"/>
      <c r="D776" s="546"/>
      <c r="E776" s="543"/>
      <c r="F776" s="717"/>
      <c r="G776" s="543"/>
      <c r="H776" s="758"/>
      <c r="I776" s="458"/>
      <c r="J776" s="458"/>
      <c r="K776" s="458"/>
      <c r="L776" s="458"/>
      <c r="M776" s="458"/>
      <c r="N776" s="458"/>
      <c r="O776" s="458"/>
      <c r="P776" s="458"/>
      <c r="Q776" s="458"/>
      <c r="R776" s="458"/>
      <c r="S776" s="458"/>
      <c r="T776" s="458"/>
      <c r="U776" s="458"/>
      <c r="V776" s="458"/>
      <c r="W776" s="458"/>
      <c r="X776" s="458"/>
      <c r="Y776" s="458"/>
      <c r="Z776" s="459"/>
      <c r="AA776" s="458"/>
      <c r="AB776" s="458"/>
      <c r="AC776" s="458"/>
      <c r="AD776" s="458"/>
      <c r="AE776" s="458"/>
      <c r="AF776" s="458"/>
      <c r="AG776" s="458"/>
      <c r="AH776" s="458"/>
      <c r="AI776" s="458"/>
      <c r="AJ776" s="458"/>
      <c r="AK776" s="458"/>
      <c r="AL776" s="458"/>
      <c r="AM776" s="458"/>
    </row>
    <row r="777" spans="2:39" ht="11.25">
      <c r="B777" s="119" t="s">
        <v>295</v>
      </c>
      <c r="C777" s="724"/>
      <c r="D777" s="17"/>
      <c r="E777" s="263">
        <f>'BS &amp; Notes 2014-15'!E811</f>
        <v>3430209</v>
      </c>
      <c r="F777" s="269"/>
      <c r="G777" s="542">
        <f>'BS &amp; Notes 2013-14'!E809</f>
        <v>0</v>
      </c>
      <c r="H777" s="758"/>
      <c r="I777" s="458"/>
      <c r="J777" s="458"/>
      <c r="K777" s="458"/>
      <c r="L777" s="458"/>
      <c r="M777" s="458"/>
      <c r="N777" s="458"/>
      <c r="O777" s="458"/>
      <c r="P777" s="458"/>
      <c r="Q777" s="458"/>
      <c r="R777" s="458"/>
      <c r="S777" s="458"/>
      <c r="T777" s="458"/>
      <c r="U777" s="458"/>
      <c r="V777" s="458"/>
      <c r="W777" s="458"/>
      <c r="X777" s="458"/>
      <c r="Y777" s="458"/>
      <c r="Z777" s="459"/>
      <c r="AA777" s="458"/>
      <c r="AB777" s="458"/>
      <c r="AC777" s="458"/>
      <c r="AD777" s="458"/>
      <c r="AE777" s="458"/>
      <c r="AF777" s="458"/>
      <c r="AG777" s="458"/>
      <c r="AH777" s="458"/>
      <c r="AI777" s="458"/>
      <c r="AJ777" s="458"/>
      <c r="AK777" s="458"/>
      <c r="AL777" s="458"/>
      <c r="AM777" s="458"/>
    </row>
    <row r="778" spans="2:39" ht="11.25">
      <c r="B778" s="119" t="s">
        <v>296</v>
      </c>
      <c r="C778" s="724"/>
      <c r="D778" s="17"/>
      <c r="E778" s="263">
        <f>'BS &amp; Notes 2014-15'!E812</f>
        <v>0</v>
      </c>
      <c r="F778" s="269"/>
      <c r="G778" s="542">
        <f>'BS &amp; Notes 2013-14'!E810</f>
        <v>0</v>
      </c>
      <c r="H778" s="758"/>
      <c r="I778" s="458"/>
      <c r="J778" s="458"/>
      <c r="K778" s="458"/>
      <c r="L778" s="458"/>
      <c r="M778" s="458"/>
      <c r="N778" s="458"/>
      <c r="O778" s="458"/>
      <c r="P778" s="458"/>
      <c r="Q778" s="458"/>
      <c r="R778" s="458"/>
      <c r="S778" s="458"/>
      <c r="T778" s="458"/>
      <c r="U778" s="458"/>
      <c r="V778" s="458"/>
      <c r="W778" s="458"/>
      <c r="X778" s="458"/>
      <c r="Y778" s="458"/>
      <c r="Z778" s="459"/>
      <c r="AA778" s="458"/>
      <c r="AB778" s="458"/>
      <c r="AC778" s="458"/>
      <c r="AD778" s="458"/>
      <c r="AE778" s="458"/>
      <c r="AF778" s="458"/>
      <c r="AG778" s="458"/>
      <c r="AH778" s="458"/>
      <c r="AI778" s="458"/>
      <c r="AJ778" s="458"/>
      <c r="AK778" s="458"/>
      <c r="AL778" s="458"/>
      <c r="AM778" s="458"/>
    </row>
    <row r="779" spans="2:39" ht="11.25">
      <c r="B779" s="119" t="s">
        <v>297</v>
      </c>
      <c r="C779" s="724"/>
      <c r="D779" s="17"/>
      <c r="E779" s="263">
        <f>'BS &amp; Notes 2014-15'!E813</f>
        <v>1634691</v>
      </c>
      <c r="F779" s="269"/>
      <c r="G779" s="542">
        <f>'BS &amp; Notes 2013-14'!E811</f>
        <v>0</v>
      </c>
      <c r="H779" s="758"/>
      <c r="I779" s="458"/>
      <c r="J779" s="458"/>
      <c r="K779" s="458"/>
      <c r="L779" s="458"/>
      <c r="M779" s="458"/>
      <c r="N779" s="458"/>
      <c r="O779" s="458"/>
      <c r="P779" s="458"/>
      <c r="Q779" s="458"/>
      <c r="R779" s="458"/>
      <c r="S779" s="458"/>
      <c r="T779" s="458"/>
      <c r="U779" s="458"/>
      <c r="V779" s="458"/>
      <c r="W779" s="458"/>
      <c r="X779" s="458"/>
      <c r="Y779" s="458"/>
      <c r="Z779" s="459"/>
      <c r="AA779" s="458"/>
      <c r="AB779" s="458"/>
      <c r="AC779" s="458"/>
      <c r="AD779" s="458"/>
      <c r="AE779" s="458"/>
      <c r="AF779" s="458"/>
      <c r="AG779" s="458"/>
      <c r="AH779" s="458"/>
      <c r="AI779" s="458"/>
      <c r="AJ779" s="458"/>
      <c r="AK779" s="458"/>
      <c r="AL779" s="458"/>
      <c r="AM779" s="458"/>
    </row>
    <row r="780" spans="2:39" ht="11.25">
      <c r="B780" s="119" t="s">
        <v>298</v>
      </c>
      <c r="C780" s="724"/>
      <c r="D780" s="17"/>
      <c r="E780" s="263">
        <f>'BS &amp; Notes 2014-15'!E814</f>
        <v>-18248</v>
      </c>
      <c r="F780" s="269"/>
      <c r="G780" s="542">
        <f>'BS &amp; Notes 2013-14'!E812</f>
        <v>0</v>
      </c>
      <c r="H780" s="758"/>
      <c r="I780" s="458"/>
      <c r="J780" s="458"/>
      <c r="K780" s="458"/>
      <c r="L780" s="458"/>
      <c r="M780" s="458"/>
      <c r="N780" s="458"/>
      <c r="O780" s="458"/>
      <c r="P780" s="458"/>
      <c r="Q780" s="458"/>
      <c r="R780" s="458"/>
      <c r="S780" s="458"/>
      <c r="T780" s="458"/>
      <c r="U780" s="458"/>
      <c r="V780" s="458"/>
      <c r="W780" s="458"/>
      <c r="X780" s="458"/>
      <c r="Y780" s="458"/>
      <c r="Z780" s="459"/>
      <c r="AA780" s="458"/>
      <c r="AB780" s="458"/>
      <c r="AC780" s="458"/>
      <c r="AD780" s="458"/>
      <c r="AE780" s="458"/>
      <c r="AF780" s="458"/>
      <c r="AG780" s="458"/>
      <c r="AH780" s="458"/>
      <c r="AI780" s="458"/>
      <c r="AJ780" s="458"/>
      <c r="AK780" s="458"/>
      <c r="AL780" s="458"/>
      <c r="AM780" s="458"/>
    </row>
    <row r="781" spans="2:39" ht="11.25">
      <c r="B781" s="119" t="s">
        <v>78</v>
      </c>
      <c r="C781" s="724"/>
      <c r="D781" s="17"/>
      <c r="E781" s="263">
        <f>'BS &amp; Notes 2014-15'!E815</f>
        <v>0</v>
      </c>
      <c r="F781" s="269"/>
      <c r="G781" s="263">
        <f>'BS &amp; Notes 2013-14'!E813</f>
        <v>0</v>
      </c>
      <c r="H781" s="758"/>
      <c r="I781" s="458"/>
      <c r="J781" s="458"/>
      <c r="K781" s="458"/>
      <c r="L781" s="458"/>
      <c r="M781" s="458"/>
      <c r="N781" s="458"/>
      <c r="O781" s="458"/>
      <c r="P781" s="458"/>
      <c r="Q781" s="458"/>
      <c r="R781" s="458"/>
      <c r="S781" s="458"/>
      <c r="T781" s="458"/>
      <c r="U781" s="458"/>
      <c r="V781" s="458"/>
      <c r="W781" s="458"/>
      <c r="X781" s="458"/>
      <c r="Y781" s="458"/>
      <c r="Z781" s="459"/>
      <c r="AA781" s="458"/>
      <c r="AB781" s="458"/>
      <c r="AC781" s="458"/>
      <c r="AD781" s="458"/>
      <c r="AE781" s="458"/>
      <c r="AF781" s="458"/>
      <c r="AG781" s="458"/>
      <c r="AH781" s="458"/>
      <c r="AI781" s="458"/>
      <c r="AJ781" s="458"/>
      <c r="AK781" s="458"/>
      <c r="AL781" s="458"/>
      <c r="AM781" s="458"/>
    </row>
    <row r="782" spans="2:39" ht="11.25">
      <c r="B782" s="119" t="s">
        <v>879</v>
      </c>
      <c r="C782" s="724"/>
      <c r="D782" s="17"/>
      <c r="E782" s="263">
        <f>'BS &amp; Notes 2014-15'!E816</f>
        <v>3056800</v>
      </c>
      <c r="F782" s="269"/>
      <c r="G782" s="542">
        <f>'BS &amp; Notes 2013-14'!E814</f>
        <v>0</v>
      </c>
      <c r="H782" s="758"/>
      <c r="I782" s="458"/>
      <c r="J782" s="458"/>
      <c r="K782" s="458"/>
      <c r="L782" s="458"/>
      <c r="M782" s="458"/>
      <c r="N782" s="458"/>
      <c r="O782" s="458"/>
      <c r="P782" s="458"/>
      <c r="Q782" s="458"/>
      <c r="R782" s="458"/>
      <c r="S782" s="458"/>
      <c r="T782" s="458"/>
      <c r="U782" s="458"/>
      <c r="V782" s="458"/>
      <c r="W782" s="458"/>
      <c r="X782" s="458"/>
      <c r="Y782" s="458"/>
      <c r="Z782" s="459"/>
      <c r="AA782" s="458"/>
      <c r="AB782" s="458"/>
      <c r="AC782" s="458"/>
      <c r="AD782" s="458"/>
      <c r="AE782" s="458"/>
      <c r="AF782" s="458"/>
      <c r="AG782" s="458"/>
      <c r="AH782" s="458"/>
      <c r="AI782" s="458"/>
      <c r="AJ782" s="458"/>
      <c r="AK782" s="458"/>
      <c r="AL782" s="458"/>
      <c r="AM782" s="458"/>
    </row>
    <row r="783" spans="2:39" ht="12" thickBot="1">
      <c r="B783" s="133" t="s">
        <v>859</v>
      </c>
      <c r="C783" s="724"/>
      <c r="D783" s="17"/>
      <c r="E783" s="547">
        <f>SUM(E777:E782)</f>
        <v>8103452</v>
      </c>
      <c r="F783" s="269"/>
      <c r="G783" s="547">
        <f>SUM(G777:G782)</f>
        <v>0</v>
      </c>
      <c r="H783" s="758"/>
      <c r="I783" s="458"/>
      <c r="J783" s="458"/>
      <c r="K783" s="458"/>
      <c r="L783" s="458"/>
      <c r="M783" s="458"/>
      <c r="N783" s="458"/>
      <c r="O783" s="458"/>
      <c r="P783" s="458"/>
      <c r="Q783" s="458"/>
      <c r="R783" s="458"/>
      <c r="S783" s="458"/>
      <c r="T783" s="458"/>
      <c r="U783" s="458"/>
      <c r="V783" s="458"/>
      <c r="W783" s="458"/>
      <c r="X783" s="458"/>
      <c r="Y783" s="458"/>
      <c r="Z783" s="459"/>
      <c r="AA783" s="458"/>
      <c r="AB783" s="458"/>
      <c r="AC783" s="458"/>
      <c r="AD783" s="458"/>
      <c r="AE783" s="458"/>
      <c r="AF783" s="458"/>
      <c r="AG783" s="458"/>
      <c r="AH783" s="458"/>
      <c r="AI783" s="458"/>
      <c r="AJ783" s="458"/>
      <c r="AK783" s="458"/>
      <c r="AL783" s="458"/>
      <c r="AM783" s="458"/>
    </row>
    <row r="784" spans="2:39" ht="12" thickTop="1">
      <c r="B784" s="130" t="s">
        <v>299</v>
      </c>
      <c r="C784" s="724"/>
      <c r="D784" s="17"/>
      <c r="E784" s="263"/>
      <c r="F784" s="269"/>
      <c r="G784" s="263"/>
      <c r="H784" s="758"/>
      <c r="I784" s="458"/>
      <c r="J784" s="458"/>
      <c r="K784" s="458"/>
      <c r="L784" s="458"/>
      <c r="M784" s="458"/>
      <c r="N784" s="458"/>
      <c r="O784" s="458"/>
      <c r="P784" s="458"/>
      <c r="Q784" s="458"/>
      <c r="R784" s="458"/>
      <c r="S784" s="458"/>
      <c r="T784" s="458"/>
      <c r="U784" s="458"/>
      <c r="V784" s="458"/>
      <c r="W784" s="458"/>
      <c r="X784" s="458"/>
      <c r="Y784" s="458"/>
      <c r="Z784" s="459"/>
      <c r="AA784" s="458"/>
      <c r="AB784" s="458"/>
      <c r="AC784" s="458"/>
      <c r="AD784" s="458"/>
      <c r="AE784" s="458"/>
      <c r="AF784" s="458"/>
      <c r="AG784" s="458"/>
      <c r="AH784" s="458"/>
      <c r="AI784" s="458"/>
      <c r="AJ784" s="458"/>
      <c r="AK784" s="458"/>
      <c r="AL784" s="458"/>
      <c r="AM784" s="458"/>
    </row>
    <row r="785" spans="2:39" ht="11.25">
      <c r="B785" s="119" t="s">
        <v>300</v>
      </c>
      <c r="C785" s="724"/>
      <c r="D785" s="17"/>
      <c r="E785" s="263">
        <f>'BS &amp; Notes 2014-15'!E819</f>
        <v>292796</v>
      </c>
      <c r="F785" s="269"/>
      <c r="G785" s="263">
        <f>'BS &amp; Notes 2013-14'!E817</f>
        <v>0</v>
      </c>
      <c r="H785" s="758"/>
      <c r="I785" s="458"/>
      <c r="J785" s="458"/>
      <c r="K785" s="458"/>
      <c r="L785" s="458"/>
      <c r="M785" s="458"/>
      <c r="N785" s="458"/>
      <c r="O785" s="458"/>
      <c r="P785" s="458"/>
      <c r="Q785" s="458"/>
      <c r="R785" s="458"/>
      <c r="S785" s="458"/>
      <c r="T785" s="458"/>
      <c r="U785" s="458"/>
      <c r="V785" s="458"/>
      <c r="W785" s="458"/>
      <c r="X785" s="458"/>
      <c r="Y785" s="458"/>
      <c r="Z785" s="459"/>
      <c r="AA785" s="458"/>
      <c r="AB785" s="458"/>
      <c r="AC785" s="458"/>
      <c r="AD785" s="458"/>
      <c r="AE785" s="458"/>
      <c r="AF785" s="458"/>
      <c r="AG785" s="458"/>
      <c r="AH785" s="458"/>
      <c r="AI785" s="458"/>
      <c r="AJ785" s="458"/>
      <c r="AK785" s="458"/>
      <c r="AL785" s="458"/>
      <c r="AM785" s="458"/>
    </row>
    <row r="786" spans="2:39" ht="11.25">
      <c r="B786" s="119" t="s">
        <v>298</v>
      </c>
      <c r="C786" s="724"/>
      <c r="D786" s="17"/>
      <c r="E786" s="263">
        <f>'BS &amp; Notes 2014-15'!E820</f>
        <v>-15797673</v>
      </c>
      <c r="F786" s="269"/>
      <c r="G786" s="263">
        <f>'BS &amp; Notes 2013-14'!E818</f>
        <v>0</v>
      </c>
      <c r="H786" s="758"/>
      <c r="I786" s="458"/>
      <c r="J786" s="458"/>
      <c r="K786" s="458"/>
      <c r="L786" s="458"/>
      <c r="M786" s="458"/>
      <c r="N786" s="458"/>
      <c r="O786" s="458"/>
      <c r="P786" s="458"/>
      <c r="Q786" s="458"/>
      <c r="R786" s="458"/>
      <c r="S786" s="458"/>
      <c r="T786" s="458"/>
      <c r="U786" s="458"/>
      <c r="V786" s="458"/>
      <c r="W786" s="458"/>
      <c r="X786" s="458"/>
      <c r="Y786" s="458"/>
      <c r="Z786" s="459"/>
      <c r="AA786" s="458"/>
      <c r="AB786" s="458"/>
      <c r="AC786" s="458"/>
      <c r="AD786" s="458"/>
      <c r="AE786" s="458"/>
      <c r="AF786" s="458"/>
      <c r="AG786" s="458"/>
      <c r="AH786" s="458"/>
      <c r="AI786" s="458"/>
      <c r="AJ786" s="458"/>
      <c r="AK786" s="458"/>
      <c r="AL786" s="458"/>
      <c r="AM786" s="458"/>
    </row>
    <row r="787" spans="2:39" ht="11.25">
      <c r="B787" s="119" t="s">
        <v>301</v>
      </c>
      <c r="C787" s="724"/>
      <c r="D787" s="17"/>
      <c r="E787" s="263">
        <f>'BS &amp; Notes 2014-15'!E821</f>
        <v>7613563</v>
      </c>
      <c r="F787" s="269"/>
      <c r="G787" s="263">
        <f>'BS &amp; Notes 2013-14'!E819</f>
        <v>0</v>
      </c>
      <c r="H787" s="758"/>
      <c r="I787" s="458"/>
      <c r="J787" s="458"/>
      <c r="K787" s="458"/>
      <c r="L787" s="458"/>
      <c r="M787" s="458"/>
      <c r="N787" s="458"/>
      <c r="O787" s="458"/>
      <c r="P787" s="458"/>
      <c r="Q787" s="458"/>
      <c r="R787" s="458"/>
      <c r="S787" s="458"/>
      <c r="T787" s="458"/>
      <c r="U787" s="458"/>
      <c r="V787" s="458"/>
      <c r="W787" s="458"/>
      <c r="X787" s="458"/>
      <c r="Y787" s="458"/>
      <c r="Z787" s="459"/>
      <c r="AA787" s="458"/>
      <c r="AB787" s="458"/>
      <c r="AC787" s="458"/>
      <c r="AD787" s="458"/>
      <c r="AE787" s="458"/>
      <c r="AF787" s="458"/>
      <c r="AG787" s="458"/>
      <c r="AH787" s="458"/>
      <c r="AI787" s="458"/>
      <c r="AJ787" s="458"/>
      <c r="AK787" s="458"/>
      <c r="AL787" s="458"/>
      <c r="AM787" s="458"/>
    </row>
    <row r="788" spans="2:39" ht="12" thickBot="1">
      <c r="B788" s="133" t="s">
        <v>859</v>
      </c>
      <c r="C788" s="724"/>
      <c r="D788" s="17"/>
      <c r="E788" s="547">
        <f>SUM(E785:E787)</f>
        <v>-7891314</v>
      </c>
      <c r="F788" s="269"/>
      <c r="G788" s="547">
        <f>SUM(G785:G787)</f>
        <v>0</v>
      </c>
      <c r="H788" s="758"/>
      <c r="I788" s="458"/>
      <c r="J788" s="458"/>
      <c r="K788" s="458"/>
      <c r="L788" s="458"/>
      <c r="M788" s="458"/>
      <c r="N788" s="458"/>
      <c r="O788" s="458"/>
      <c r="P788" s="458"/>
      <c r="Q788" s="458"/>
      <c r="R788" s="458"/>
      <c r="S788" s="458"/>
      <c r="T788" s="458"/>
      <c r="U788" s="458"/>
      <c r="V788" s="458"/>
      <c r="W788" s="458"/>
      <c r="X788" s="458"/>
      <c r="Y788" s="458"/>
      <c r="Z788" s="459"/>
      <c r="AA788" s="458"/>
      <c r="AB788" s="458"/>
      <c r="AC788" s="458"/>
      <c r="AD788" s="458"/>
      <c r="AE788" s="458"/>
      <c r="AF788" s="458"/>
      <c r="AG788" s="458"/>
      <c r="AH788" s="458"/>
      <c r="AI788" s="458"/>
      <c r="AJ788" s="458"/>
      <c r="AK788" s="458"/>
      <c r="AL788" s="458"/>
      <c r="AM788" s="458"/>
    </row>
    <row r="789" spans="2:39" ht="12.75" thickTop="1" thickBot="1">
      <c r="B789" s="313" t="s">
        <v>477</v>
      </c>
      <c r="C789" s="724"/>
      <c r="D789" s="17"/>
      <c r="E789" s="586">
        <f>+E783-E788</f>
        <v>15994766</v>
      </c>
      <c r="F789" s="296"/>
      <c r="G789" s="586">
        <f>+G783-G788</f>
        <v>0</v>
      </c>
      <c r="H789" s="758"/>
      <c r="I789" s="458"/>
      <c r="J789" s="458"/>
      <c r="K789" s="458"/>
      <c r="L789" s="458"/>
      <c r="M789" s="458"/>
      <c r="N789" s="458"/>
      <c r="O789" s="458"/>
      <c r="P789" s="458"/>
      <c r="Q789" s="458"/>
      <c r="R789" s="458"/>
      <c r="S789" s="458"/>
      <c r="T789" s="458"/>
      <c r="U789" s="458"/>
      <c r="V789" s="458"/>
      <c r="W789" s="458"/>
      <c r="X789" s="458"/>
      <c r="Y789" s="458"/>
      <c r="Z789" s="459"/>
      <c r="AA789" s="458"/>
      <c r="AB789" s="458"/>
      <c r="AC789" s="458"/>
      <c r="AD789" s="458"/>
      <c r="AE789" s="458"/>
      <c r="AF789" s="458"/>
      <c r="AG789" s="458"/>
      <c r="AH789" s="458"/>
      <c r="AI789" s="458"/>
      <c r="AJ789" s="458"/>
      <c r="AK789" s="458"/>
      <c r="AL789" s="458"/>
      <c r="AM789" s="458"/>
    </row>
    <row r="790" spans="2:39" ht="12.75" thickTop="1" thickBot="1">
      <c r="B790" s="544"/>
      <c r="C790" s="718"/>
      <c r="D790" s="544"/>
      <c r="E790" s="12"/>
      <c r="F790" s="718"/>
      <c r="G790" s="12"/>
      <c r="H790" s="758"/>
      <c r="I790" s="458"/>
      <c r="J790" s="458"/>
      <c r="K790" s="458"/>
      <c r="L790" s="458"/>
      <c r="M790" s="458"/>
      <c r="N790" s="458"/>
      <c r="O790" s="458"/>
      <c r="P790" s="458"/>
      <c r="Q790" s="458"/>
      <c r="R790" s="458"/>
      <c r="S790" s="458"/>
      <c r="T790" s="458"/>
      <c r="U790" s="458"/>
      <c r="V790" s="458"/>
      <c r="W790" s="458"/>
      <c r="X790" s="458"/>
      <c r="Y790" s="458"/>
      <c r="Z790" s="459"/>
      <c r="AA790" s="458"/>
      <c r="AB790" s="458"/>
      <c r="AC790" s="458"/>
      <c r="AD790" s="458"/>
      <c r="AE790" s="458"/>
      <c r="AF790" s="458"/>
      <c r="AG790" s="458"/>
      <c r="AH790" s="458"/>
      <c r="AI790" s="458"/>
      <c r="AJ790" s="458"/>
      <c r="AK790" s="458"/>
      <c r="AL790" s="458"/>
      <c r="AM790" s="458"/>
    </row>
    <row r="792" spans="2:39" ht="38.25" hidden="1" customHeight="1">
      <c r="B792" s="1437" t="s">
        <v>937</v>
      </c>
      <c r="C792" s="1437"/>
      <c r="D792" s="1437"/>
      <c r="E792" s="1437"/>
      <c r="F792" s="1437"/>
      <c r="G792" s="1437"/>
    </row>
    <row r="793" spans="2:39" hidden="1"/>
    <row r="794" spans="2:39" ht="56.45" hidden="1" customHeight="1">
      <c r="B794" s="1456" t="s">
        <v>938</v>
      </c>
      <c r="C794" s="1456"/>
      <c r="D794" s="1456"/>
      <c r="E794" s="1456"/>
      <c r="F794" s="1456"/>
      <c r="G794" s="1456"/>
    </row>
    <row r="795" spans="2:39" ht="12" customHeight="1">
      <c r="B795" s="713"/>
      <c r="C795" s="713"/>
      <c r="D795" s="713"/>
      <c r="E795" s="713"/>
      <c r="F795" s="713"/>
      <c r="G795" s="713"/>
    </row>
    <row r="796" spans="2:39" ht="12" customHeight="1">
      <c r="B796" s="70" t="s">
        <v>1181</v>
      </c>
      <c r="F796" s="713"/>
      <c r="G796" s="713"/>
    </row>
    <row r="797" spans="2:39" ht="12" customHeight="1">
      <c r="B797" s="70"/>
      <c r="F797" s="713"/>
      <c r="G797" s="713"/>
    </row>
    <row r="798" spans="2:39" ht="12" customHeight="1">
      <c r="B798" s="103" t="s">
        <v>570</v>
      </c>
      <c r="F798" s="713"/>
      <c r="G798" s="713"/>
    </row>
    <row r="799" spans="2:39" ht="12" customHeight="1" thickBot="1">
      <c r="F799" s="1442" t="s">
        <v>1180</v>
      </c>
      <c r="G799" s="1442"/>
    </row>
    <row r="800" spans="2:39" ht="12" customHeight="1" thickBot="1">
      <c r="B800" s="120"/>
      <c r="C800" s="733"/>
      <c r="D800" s="1431" t="s">
        <v>1231</v>
      </c>
      <c r="E800" s="1432"/>
      <c r="F800" s="1433" t="s">
        <v>1206</v>
      </c>
      <c r="G800" s="1432"/>
    </row>
    <row r="801" spans="2:7" ht="12" customHeight="1">
      <c r="B801" s="1457" t="s">
        <v>571</v>
      </c>
      <c r="C801" s="1548"/>
      <c r="D801" s="546"/>
      <c r="E801" s="548">
        <f>'BS &amp; Notes 2014-15'!E835</f>
        <v>141136865</v>
      </c>
      <c r="F801" s="260"/>
      <c r="G801" s="261">
        <f>'BS &amp; Notes 2013-14'!E833</f>
        <v>0</v>
      </c>
    </row>
    <row r="802" spans="2:7" ht="12" customHeight="1">
      <c r="B802" s="1440" t="s">
        <v>572</v>
      </c>
      <c r="C802" s="1441"/>
      <c r="D802" s="17"/>
      <c r="E802" s="829">
        <f>'BS &amp; Notes 2014-15'!E836</f>
        <v>0</v>
      </c>
      <c r="F802" s="555"/>
      <c r="G802" s="530">
        <f>'BS &amp; Notes 2013-14'!E834</f>
        <v>0</v>
      </c>
    </row>
    <row r="803" spans="2:7" ht="12" customHeight="1">
      <c r="B803" s="96" t="s">
        <v>573</v>
      </c>
      <c r="C803" s="724"/>
      <c r="D803" s="17"/>
      <c r="E803" s="554">
        <f>'BS &amp; Notes 2014-15'!E837</f>
        <v>-318987</v>
      </c>
      <c r="F803" s="262"/>
      <c r="G803" s="263">
        <f>'BS &amp; Notes 2013-14'!E835</f>
        <v>0</v>
      </c>
    </row>
    <row r="804" spans="2:7" ht="21">
      <c r="B804" s="96" t="s">
        <v>1221</v>
      </c>
      <c r="C804" s="724"/>
      <c r="D804" s="17"/>
      <c r="E804" s="554">
        <f>'BS &amp; Notes 2014-15'!E838</f>
        <v>0</v>
      </c>
      <c r="F804" s="262"/>
      <c r="G804" s="263">
        <f>'BS &amp; Notes 2013-14'!E836</f>
        <v>0</v>
      </c>
    </row>
    <row r="805" spans="2:7" ht="12" customHeight="1">
      <c r="B805" s="1440" t="s">
        <v>1267</v>
      </c>
      <c r="C805" s="1454"/>
      <c r="D805" s="17"/>
      <c r="E805" s="829">
        <f>'BS &amp; Notes 2014-15'!E839</f>
        <v>3535577</v>
      </c>
      <c r="F805" s="262"/>
      <c r="G805" s="530">
        <f>'BS &amp; Notes 2013-14'!E837</f>
        <v>0</v>
      </c>
    </row>
    <row r="806" spans="2:7" ht="12" customHeight="1">
      <c r="B806" s="96" t="s">
        <v>576</v>
      </c>
      <c r="C806" s="724"/>
      <c r="D806" s="17"/>
      <c r="E806" s="552">
        <f>'BS &amp; Notes 2014-15'!E840</f>
        <v>323385025</v>
      </c>
      <c r="F806" s="262"/>
      <c r="G806" s="552">
        <f>'BS &amp; Notes 2013-14'!E838</f>
        <v>0</v>
      </c>
    </row>
    <row r="807" spans="2:7" ht="12" customHeight="1">
      <c r="B807" s="96" t="s">
        <v>90</v>
      </c>
      <c r="C807" s="724"/>
      <c r="D807" s="17"/>
      <c r="E807" s="552">
        <f>'BS &amp; Notes 2014-15'!E841</f>
        <v>0</v>
      </c>
      <c r="F807" s="262"/>
      <c r="G807" s="263">
        <f>'BS &amp; Notes 2013-14'!E839</f>
        <v>0</v>
      </c>
    </row>
    <row r="808" spans="2:7" ht="12" customHeight="1">
      <c r="B808" s="96" t="s">
        <v>1025</v>
      </c>
      <c r="C808" s="751"/>
      <c r="D808" s="17"/>
      <c r="E808" s="552">
        <f>'BS &amp; Notes 2014-15'!E842</f>
        <v>-698293792.99000001</v>
      </c>
      <c r="F808" s="262"/>
      <c r="G808" s="263">
        <f>'BS &amp; Notes 2013-14'!E840</f>
        <v>0</v>
      </c>
    </row>
    <row r="809" spans="2:7" ht="12" customHeight="1">
      <c r="B809" s="96" t="s">
        <v>91</v>
      </c>
      <c r="C809" s="724"/>
      <c r="D809" s="17"/>
      <c r="E809" s="552">
        <f>'BS &amp; Notes 2014-15'!E843</f>
        <v>0</v>
      </c>
      <c r="F809" s="262"/>
      <c r="G809" s="803">
        <f>'BS &amp; Notes 2013-14'!E841</f>
        <v>0</v>
      </c>
    </row>
    <row r="810" spans="2:7" ht="12" customHeight="1" thickBot="1">
      <c r="B810" s="500"/>
      <c r="C810" s="718"/>
      <c r="D810" s="544"/>
      <c r="E810" s="661">
        <f>SUM(E801:E809)</f>
        <v>-230555312.99000001</v>
      </c>
      <c r="F810" s="255"/>
      <c r="G810" s="661">
        <f>SUM(G801:G809)</f>
        <v>0</v>
      </c>
    </row>
    <row r="811" spans="2:7" ht="12" customHeight="1">
      <c r="B811" s="713"/>
      <c r="C811" s="713"/>
      <c r="D811" s="713"/>
      <c r="E811" s="713"/>
      <c r="F811" s="713"/>
      <c r="G811" s="713"/>
    </row>
    <row r="812" spans="2:7" ht="11.25" customHeight="1">
      <c r="B812" s="713"/>
      <c r="C812" s="713"/>
      <c r="D812" s="713"/>
      <c r="E812" s="713"/>
      <c r="F812" s="713"/>
      <c r="G812" s="713"/>
    </row>
    <row r="814" spans="2:7">
      <c r="B814" s="1451" t="s">
        <v>303</v>
      </c>
      <c r="C814" s="1451"/>
      <c r="D814" s="1451"/>
      <c r="E814" s="1451"/>
      <c r="F814" s="1451"/>
      <c r="G814" s="1451"/>
    </row>
    <row r="816" spans="2:7" ht="29.25" customHeight="1">
      <c r="B816" s="1462" t="s">
        <v>1169</v>
      </c>
      <c r="C816" s="1462"/>
      <c r="D816" s="1462"/>
      <c r="E816" s="1462"/>
      <c r="F816" s="1462"/>
      <c r="G816" s="1462"/>
    </row>
    <row r="818" spans="2:7" ht="11.25" customHeight="1">
      <c r="B818" s="1462" t="s">
        <v>1170</v>
      </c>
      <c r="C818" s="1462"/>
      <c r="D818" s="1462"/>
      <c r="E818" s="1462"/>
      <c r="F818" s="1462"/>
      <c r="G818" s="1462"/>
    </row>
    <row r="820" spans="2:7">
      <c r="B820" s="70" t="s">
        <v>435</v>
      </c>
    </row>
    <row r="821" spans="2:7" ht="12" thickBot="1">
      <c r="F821" s="1442" t="s">
        <v>1180</v>
      </c>
      <c r="G821" s="1442"/>
    </row>
    <row r="822" spans="2:7" ht="11.25" thickBot="1">
      <c r="B822" s="120"/>
      <c r="C822" s="19"/>
      <c r="D822" s="1431" t="s">
        <v>1231</v>
      </c>
      <c r="E822" s="1432"/>
      <c r="F822" s="1433" t="s">
        <v>1206</v>
      </c>
      <c r="G822" s="1432"/>
    </row>
    <row r="823" spans="2:7">
      <c r="B823" s="94" t="s">
        <v>436</v>
      </c>
      <c r="C823" s="717"/>
      <c r="D823" s="546"/>
      <c r="E823" s="543"/>
      <c r="F823" s="717"/>
      <c r="G823" s="543"/>
    </row>
    <row r="824" spans="2:7">
      <c r="B824" s="119" t="s">
        <v>437</v>
      </c>
      <c r="C824" s="724"/>
      <c r="D824" s="17"/>
      <c r="E824" s="552">
        <f>'BS &amp; Notes 2014-15'!E863</f>
        <v>136045704625.62</v>
      </c>
      <c r="F824" s="724"/>
      <c r="G824" s="263">
        <f>'BS &amp; Notes 2013-14'!E861</f>
        <v>0</v>
      </c>
    </row>
    <row r="825" spans="2:7">
      <c r="B825" s="119" t="s">
        <v>438</v>
      </c>
      <c r="C825" s="724"/>
      <c r="D825" s="17"/>
      <c r="E825" s="552">
        <f>'BS &amp; Notes 2014-15'!E864</f>
        <v>1222048456</v>
      </c>
      <c r="F825" s="724"/>
      <c r="G825" s="263">
        <f>'BS &amp; Notes 2013-14'!E862</f>
        <v>0</v>
      </c>
    </row>
    <row r="826" spans="2:7">
      <c r="B826" s="119" t="s">
        <v>439</v>
      </c>
      <c r="C826" s="724"/>
      <c r="D826" s="17"/>
      <c r="E826" s="552">
        <f>'BS &amp; Notes 2014-15'!E865</f>
        <v>0</v>
      </c>
      <c r="F826" s="724"/>
      <c r="G826" s="263">
        <f>'BS &amp; Notes 2013-14'!E863</f>
        <v>0</v>
      </c>
    </row>
    <row r="827" spans="2:7">
      <c r="B827" s="119" t="s">
        <v>440</v>
      </c>
      <c r="C827" s="724"/>
      <c r="D827" s="17"/>
      <c r="E827" s="552">
        <f>'BS &amp; Notes 2014-15'!E866</f>
        <v>0</v>
      </c>
      <c r="F827" s="724"/>
      <c r="G827" s="263">
        <f>'BS &amp; Notes 2013-14'!E864</f>
        <v>0</v>
      </c>
    </row>
    <row r="828" spans="2:7" ht="11.25" thickBot="1">
      <c r="B828" s="515" t="s">
        <v>806</v>
      </c>
      <c r="C828" s="724"/>
      <c r="D828" s="17"/>
      <c r="E828" s="556">
        <f>SUM(E823:E827)</f>
        <v>137267753081.62</v>
      </c>
      <c r="F828" s="724"/>
      <c r="G828" s="547">
        <f>SUM(G823:G827)</f>
        <v>0</v>
      </c>
    </row>
    <row r="829" spans="2:7" ht="12" thickTop="1" thickBot="1">
      <c r="B829" s="544"/>
      <c r="C829" s="718"/>
      <c r="D829" s="544"/>
      <c r="E829" s="12"/>
      <c r="F829" s="718"/>
      <c r="G829" s="12"/>
    </row>
    <row r="831" spans="2:7" ht="21">
      <c r="B831" s="70" t="s">
        <v>1171</v>
      </c>
    </row>
    <row r="832" spans="2:7" ht="12" thickBot="1">
      <c r="F832" s="1442" t="s">
        <v>1180</v>
      </c>
      <c r="G832" s="1442"/>
    </row>
    <row r="833" spans="2:7" ht="11.25" thickBot="1">
      <c r="B833" s="228" t="s">
        <v>442</v>
      </c>
      <c r="C833" s="19"/>
      <c r="D833" s="1431" t="s">
        <v>1231</v>
      </c>
      <c r="E833" s="1432"/>
      <c r="F833" s="1433" t="s">
        <v>1206</v>
      </c>
      <c r="G833" s="1432"/>
    </row>
    <row r="834" spans="2:7">
      <c r="B834" s="226" t="s">
        <v>443</v>
      </c>
      <c r="C834" s="717"/>
      <c r="D834" s="546"/>
      <c r="E834" s="626">
        <f>'BS &amp; Notes 2014-15'!E873</f>
        <v>0</v>
      </c>
      <c r="F834" s="717"/>
      <c r="G834" s="263">
        <f>'BS &amp; Notes 2013-14'!E871</f>
        <v>0</v>
      </c>
    </row>
    <row r="835" spans="2:7">
      <c r="B835" s="119" t="s">
        <v>444</v>
      </c>
      <c r="C835" s="724"/>
      <c r="D835" s="17"/>
      <c r="E835" s="530">
        <f>'BS &amp; Notes 2014-15'!E874</f>
        <v>0</v>
      </c>
      <c r="F835" s="724"/>
      <c r="G835" s="263">
        <f>'BS &amp; Notes 2013-14'!E872</f>
        <v>0</v>
      </c>
    </row>
    <row r="836" spans="2:7">
      <c r="B836" s="119" t="s">
        <v>445</v>
      </c>
      <c r="C836" s="724"/>
      <c r="D836" s="17"/>
      <c r="E836" s="530">
        <f>'BS &amp; Notes 2014-15'!E875</f>
        <v>0</v>
      </c>
      <c r="F836" s="724"/>
      <c r="G836" s="263">
        <f>'BS &amp; Notes 2013-14'!E873</f>
        <v>0</v>
      </c>
    </row>
    <row r="837" spans="2:7">
      <c r="B837" s="119" t="s">
        <v>298</v>
      </c>
      <c r="C837" s="724"/>
      <c r="D837" s="17"/>
      <c r="E837" s="542">
        <f>'BS &amp; Notes 2014-15'!E876</f>
        <v>2600839</v>
      </c>
      <c r="F837" s="724"/>
      <c r="G837" s="263">
        <f>'BS &amp; Notes 2013-14'!E874</f>
        <v>0</v>
      </c>
    </row>
    <row r="838" spans="2:7">
      <c r="B838" s="119" t="s">
        <v>446</v>
      </c>
      <c r="C838" s="724"/>
      <c r="D838" s="17"/>
      <c r="E838" s="542">
        <f>'BS &amp; Notes 2014-15'!E877</f>
        <v>5494782</v>
      </c>
      <c r="F838" s="724"/>
      <c r="G838" s="263">
        <f>'BS &amp; Notes 2013-14'!E875</f>
        <v>0</v>
      </c>
    </row>
    <row r="839" spans="2:7">
      <c r="B839" s="119" t="s">
        <v>447</v>
      </c>
      <c r="C839" s="724"/>
      <c r="D839" s="17"/>
      <c r="E839" s="542">
        <f>'BS &amp; Notes 2014-15'!E878</f>
        <v>4124788</v>
      </c>
      <c r="F839" s="724"/>
      <c r="G839" s="263">
        <f>'BS &amp; Notes 2013-14'!E876</f>
        <v>0</v>
      </c>
    </row>
    <row r="840" spans="2:7">
      <c r="B840" s="119" t="s">
        <v>448</v>
      </c>
      <c r="C840" s="724"/>
      <c r="D840" s="17"/>
      <c r="E840" s="542">
        <f>'BS &amp; Notes 2014-15'!E879</f>
        <v>88370128</v>
      </c>
      <c r="F840" s="724"/>
      <c r="G840" s="263">
        <f>'BS &amp; Notes 2013-14'!E877</f>
        <v>0</v>
      </c>
    </row>
    <row r="841" spans="2:7">
      <c r="B841" s="119" t="s">
        <v>449</v>
      </c>
      <c r="C841" s="724"/>
      <c r="D841" s="17"/>
      <c r="E841" s="542">
        <f>'BS &amp; Notes 2014-15'!E880</f>
        <v>11724437</v>
      </c>
      <c r="F841" s="724"/>
      <c r="G841" s="263">
        <f>'BS &amp; Notes 2013-14'!E878</f>
        <v>0</v>
      </c>
    </row>
    <row r="842" spans="2:7">
      <c r="B842" s="119" t="s">
        <v>450</v>
      </c>
      <c r="C842" s="724"/>
      <c r="D842" s="17"/>
      <c r="E842" s="542">
        <f>'BS &amp; Notes 2014-15'!E881</f>
        <v>39130</v>
      </c>
      <c r="F842" s="724"/>
      <c r="G842" s="263">
        <f>'BS &amp; Notes 2013-14'!E879</f>
        <v>0</v>
      </c>
    </row>
    <row r="843" spans="2:7">
      <c r="B843" s="119" t="s">
        <v>451</v>
      </c>
      <c r="C843" s="724"/>
      <c r="D843" s="17"/>
      <c r="E843" s="542">
        <f>'BS &amp; Notes 2014-15'!E882</f>
        <v>675434450</v>
      </c>
      <c r="F843" s="724"/>
      <c r="G843" s="263">
        <f>'BS &amp; Notes 2013-14'!E880</f>
        <v>0</v>
      </c>
    </row>
    <row r="844" spans="2:7">
      <c r="B844" s="119" t="s">
        <v>452</v>
      </c>
      <c r="C844" s="724"/>
      <c r="D844" s="17"/>
      <c r="E844" s="530">
        <f>'BS &amp; Notes 2014-15'!E883</f>
        <v>4087387</v>
      </c>
      <c r="F844" s="529"/>
      <c r="G844" s="263">
        <f>'BS &amp; Notes 2013-14'!E881</f>
        <v>0</v>
      </c>
    </row>
    <row r="845" spans="2:7">
      <c r="B845" s="119" t="s">
        <v>453</v>
      </c>
      <c r="C845" s="724"/>
      <c r="D845" s="17"/>
      <c r="E845" s="530">
        <f>'BS &amp; Notes 2014-15'!E884</f>
        <v>0</v>
      </c>
      <c r="F845" s="529"/>
      <c r="G845" s="263">
        <f>'BS &amp; Notes 2013-14'!E882</f>
        <v>0</v>
      </c>
    </row>
    <row r="846" spans="2:7">
      <c r="B846" s="119" t="s">
        <v>454</v>
      </c>
      <c r="C846" s="724"/>
      <c r="D846" s="17"/>
      <c r="E846" s="542">
        <f>'BS &amp; Notes 2014-15'!E885</f>
        <v>25591982</v>
      </c>
      <c r="F846" s="724"/>
      <c r="G846" s="263">
        <f>'BS &amp; Notes 2013-14'!E883</f>
        <v>0</v>
      </c>
    </row>
    <row r="847" spans="2:7" ht="11.25" thickBot="1">
      <c r="B847" s="119"/>
      <c r="C847" s="724"/>
      <c r="D847" s="17"/>
      <c r="E847" s="12"/>
      <c r="F847" s="724"/>
      <c r="G847" s="12"/>
    </row>
    <row r="848" spans="2:7" ht="11.25" thickBot="1">
      <c r="B848" s="515" t="s">
        <v>806</v>
      </c>
      <c r="C848" s="724"/>
      <c r="D848" s="17"/>
      <c r="E848" s="581">
        <f>SUM(E834:E847)</f>
        <v>817467923</v>
      </c>
      <c r="F848" s="725"/>
      <c r="G848" s="581">
        <f>SUM(G834:G847)</f>
        <v>0</v>
      </c>
    </row>
    <row r="849" spans="2:7" ht="12" thickTop="1" thickBot="1">
      <c r="B849" s="544"/>
      <c r="C849" s="718"/>
      <c r="D849" s="544"/>
      <c r="E849" s="12"/>
      <c r="F849" s="718"/>
      <c r="G849" s="12"/>
    </row>
    <row r="851" spans="2:7">
      <c r="B851" s="70" t="s">
        <v>1172</v>
      </c>
    </row>
    <row r="852" spans="2:7" ht="12" thickBot="1">
      <c r="F852" s="1442" t="s">
        <v>1180</v>
      </c>
      <c r="G852" s="1442"/>
    </row>
    <row r="853" spans="2:7" ht="11.25" thickBot="1">
      <c r="B853" s="111" t="s">
        <v>455</v>
      </c>
      <c r="C853" s="19"/>
      <c r="D853" s="1431" t="s">
        <v>1231</v>
      </c>
      <c r="E853" s="1432"/>
      <c r="F853" s="1433" t="s">
        <v>1206</v>
      </c>
      <c r="G853" s="1432"/>
    </row>
    <row r="854" spans="2:7">
      <c r="B854" s="88" t="s">
        <v>456</v>
      </c>
      <c r="C854" s="717"/>
      <c r="D854" s="546"/>
      <c r="E854" s="543">
        <f>'BS &amp; Notes 2014-15'!E893</f>
        <v>22937861448</v>
      </c>
      <c r="F854" s="717"/>
      <c r="G854" s="543">
        <f>'BS &amp; Notes 2013-14'!E891</f>
        <v>0</v>
      </c>
    </row>
    <row r="855" spans="2:7" ht="21">
      <c r="B855" s="72" t="s">
        <v>457</v>
      </c>
      <c r="C855" s="724"/>
      <c r="D855" s="17"/>
      <c r="E855" s="530">
        <f>'BS &amp; Notes 2014-15'!E894</f>
        <v>0</v>
      </c>
      <c r="F855" s="529"/>
      <c r="G855" s="530">
        <f>'BS &amp; Notes 2013-14'!E892</f>
        <v>0</v>
      </c>
    </row>
    <row r="856" spans="2:7">
      <c r="B856" s="72" t="s">
        <v>458</v>
      </c>
      <c r="C856" s="724"/>
      <c r="D856" s="17"/>
      <c r="E856" s="542">
        <f>'BS &amp; Notes 2014-15'!E895</f>
        <v>0</v>
      </c>
      <c r="F856" s="724"/>
      <c r="G856" s="542">
        <f>'BS &amp; Notes 2013-14'!E893</f>
        <v>0</v>
      </c>
    </row>
    <row r="857" spans="2:7">
      <c r="B857" s="72" t="s">
        <v>448</v>
      </c>
      <c r="C857" s="724"/>
      <c r="D857" s="17"/>
      <c r="E857" s="542">
        <f>'BS &amp; Notes 2014-15'!E896</f>
        <v>32696765</v>
      </c>
      <c r="F857" s="724"/>
      <c r="G857" s="542">
        <f>'BS &amp; Notes 2013-14'!E894</f>
        <v>0</v>
      </c>
    </row>
    <row r="858" spans="2:7">
      <c r="B858" s="72" t="s">
        <v>459</v>
      </c>
      <c r="C858" s="724"/>
      <c r="D858" s="17"/>
      <c r="E858" s="542">
        <f>'BS &amp; Notes 2014-15'!E897</f>
        <v>26291540</v>
      </c>
      <c r="F858" s="724"/>
      <c r="G858" s="542">
        <f>'BS &amp; Notes 2013-14'!E895</f>
        <v>0</v>
      </c>
    </row>
    <row r="859" spans="2:7" ht="11.25" thickBot="1">
      <c r="B859" s="72"/>
      <c r="C859" s="724"/>
      <c r="D859" s="17"/>
      <c r="E859" s="12"/>
      <c r="F859" s="724"/>
      <c r="G859" s="12"/>
    </row>
    <row r="860" spans="2:7" ht="11.25" thickBot="1">
      <c r="B860" s="515" t="s">
        <v>806</v>
      </c>
      <c r="C860" s="724"/>
      <c r="D860" s="17"/>
      <c r="E860" s="581">
        <f>SUM(E854:E859)</f>
        <v>22996849753</v>
      </c>
      <c r="F860" s="725"/>
      <c r="G860" s="581">
        <f>SUM(G854:G859)</f>
        <v>0</v>
      </c>
    </row>
    <row r="861" spans="2:7" ht="12" thickTop="1" thickBot="1">
      <c r="B861" s="544"/>
      <c r="C861" s="718"/>
      <c r="D861" s="544"/>
      <c r="E861" s="12"/>
      <c r="F861" s="718"/>
      <c r="G861" s="12"/>
    </row>
    <row r="863" spans="2:7">
      <c r="B863" s="1451" t="s">
        <v>1173</v>
      </c>
      <c r="C863" s="1451"/>
      <c r="D863" s="1451"/>
      <c r="E863" s="1451"/>
      <c r="F863" s="1451"/>
      <c r="G863" s="1451"/>
    </row>
    <row r="864" spans="2:7" ht="12" thickBot="1">
      <c r="F864" s="1442" t="s">
        <v>1180</v>
      </c>
      <c r="G864" s="1442"/>
    </row>
    <row r="865" spans="2:7" ht="11.25" thickBot="1">
      <c r="B865" s="94" t="s">
        <v>455</v>
      </c>
      <c r="C865" s="543"/>
      <c r="D865" s="1431" t="s">
        <v>1231</v>
      </c>
      <c r="E865" s="1432"/>
      <c r="F865" s="1433" t="s">
        <v>1206</v>
      </c>
      <c r="G865" s="1432"/>
    </row>
    <row r="866" spans="2:7" ht="21.75" thickBot="1">
      <c r="B866" s="545"/>
      <c r="C866" s="733"/>
      <c r="D866" s="84" t="s">
        <v>438</v>
      </c>
      <c r="E866" s="703" t="s">
        <v>462</v>
      </c>
      <c r="F866" s="84" t="s">
        <v>438</v>
      </c>
      <c r="G866" s="703" t="s">
        <v>462</v>
      </c>
    </row>
    <row r="867" spans="2:7">
      <c r="B867" s="710" t="s">
        <v>463</v>
      </c>
      <c r="C867" s="724"/>
      <c r="D867" s="293"/>
      <c r="E867" s="543"/>
      <c r="F867" s="8"/>
      <c r="G867" s="542"/>
    </row>
    <row r="868" spans="2:7">
      <c r="B868" s="72" t="s">
        <v>1174</v>
      </c>
      <c r="C868" s="724"/>
      <c r="D868" s="8">
        <f>'BS &amp; Notes 2014-15'!D907</f>
        <v>1222048456</v>
      </c>
      <c r="E868" s="542"/>
      <c r="F868" s="8">
        <f>G583-F871</f>
        <v>0</v>
      </c>
      <c r="G868" s="542"/>
    </row>
    <row r="869" spans="2:7">
      <c r="B869" s="72" t="s">
        <v>1175</v>
      </c>
      <c r="C869" s="724"/>
      <c r="D869" s="8">
        <f>'BS &amp; Notes 2014-15'!D908</f>
        <v>100</v>
      </c>
      <c r="E869" s="542"/>
      <c r="F869" s="8">
        <f>100-F872</f>
        <v>100</v>
      </c>
      <c r="G869" s="542"/>
    </row>
    <row r="870" spans="2:7">
      <c r="B870" s="710" t="s">
        <v>464</v>
      </c>
      <c r="C870" s="724"/>
      <c r="D870" s="8"/>
      <c r="E870" s="542"/>
      <c r="F870" s="8"/>
      <c r="G870" s="542"/>
    </row>
    <row r="871" spans="2:7">
      <c r="B871" s="72" t="s">
        <v>1174</v>
      </c>
      <c r="C871" s="724"/>
      <c r="D871" s="8">
        <f>'BS &amp; Notes 2014-15'!D910</f>
        <v>0</v>
      </c>
      <c r="E871" s="542"/>
      <c r="F871" s="8">
        <f>'BS &amp; Notes 2013-14'!D908</f>
        <v>0</v>
      </c>
      <c r="G871" s="542"/>
    </row>
    <row r="872" spans="2:7">
      <c r="B872" s="72" t="s">
        <v>1175</v>
      </c>
      <c r="C872" s="724"/>
      <c r="D872" s="8">
        <f>'BS &amp; Notes 2014-15'!D911</f>
        <v>0</v>
      </c>
      <c r="E872" s="542"/>
      <c r="F872" s="8">
        <f>'BS &amp; Notes 2013-14'!D909</f>
        <v>0</v>
      </c>
      <c r="G872" s="542"/>
    </row>
    <row r="873" spans="2:7" ht="11.25" thickBot="1">
      <c r="B873" s="710" t="s">
        <v>465</v>
      </c>
      <c r="C873" s="724"/>
      <c r="D873" s="746">
        <f>+D871+D868</f>
        <v>1222048456</v>
      </c>
      <c r="E873" s="747"/>
      <c r="F873" s="746">
        <f>+F871+F868</f>
        <v>0</v>
      </c>
      <c r="G873" s="747"/>
    </row>
    <row r="874" spans="2:7" ht="12" thickTop="1" thickBot="1">
      <c r="B874" s="544"/>
      <c r="C874" s="718"/>
      <c r="D874" s="18"/>
      <c r="E874" s="12"/>
      <c r="F874" s="18"/>
      <c r="G874" s="12"/>
    </row>
    <row r="876" spans="2:7">
      <c r="B876" s="711" t="s">
        <v>1176</v>
      </c>
    </row>
    <row r="877" spans="2:7" ht="12" thickBot="1">
      <c r="F877" s="1442" t="s">
        <v>1180</v>
      </c>
      <c r="G877" s="1442"/>
    </row>
    <row r="878" spans="2:7" ht="11.25" thickBot="1">
      <c r="B878" s="126"/>
      <c r="C878" s="543"/>
      <c r="D878" s="1431" t="s">
        <v>1231</v>
      </c>
      <c r="E878" s="1432"/>
      <c r="F878" s="1431" t="s">
        <v>1206</v>
      </c>
      <c r="G878" s="1432"/>
    </row>
    <row r="879" spans="2:7">
      <c r="B879" s="88" t="s">
        <v>469</v>
      </c>
      <c r="C879" s="717"/>
      <c r="D879" s="546"/>
      <c r="E879" s="543"/>
      <c r="F879" s="717"/>
      <c r="G879" s="543">
        <f>'BS &amp; Notes 2010-11'!E861</f>
        <v>0</v>
      </c>
    </row>
    <row r="880" spans="2:7" ht="21">
      <c r="B880" s="72" t="s">
        <v>470</v>
      </c>
      <c r="C880" s="724"/>
      <c r="D880" s="17"/>
      <c r="E880" s="542"/>
      <c r="F880" s="724"/>
      <c r="G880" s="542">
        <f>'BS &amp; Notes 2010-11'!E862</f>
        <v>0</v>
      </c>
    </row>
    <row r="881" spans="2:7" ht="21">
      <c r="B881" s="72" t="s">
        <v>471</v>
      </c>
      <c r="C881" s="724"/>
      <c r="D881" s="17"/>
      <c r="E881" s="542"/>
      <c r="F881" s="724"/>
      <c r="G881" s="542">
        <f>'BS &amp; Notes 2010-11'!E863</f>
        <v>0</v>
      </c>
    </row>
    <row r="882" spans="2:7" ht="11.25" thickBot="1">
      <c r="B882" s="75" t="s">
        <v>472</v>
      </c>
      <c r="C882" s="718"/>
      <c r="D882" s="544"/>
      <c r="E882" s="12"/>
      <c r="F882" s="718"/>
      <c r="G882" s="12"/>
    </row>
  </sheetData>
  <mergeCells count="248">
    <mergeCell ref="B744:G744"/>
    <mergeCell ref="D750:E750"/>
    <mergeCell ref="B816:G816"/>
    <mergeCell ref="D800:E800"/>
    <mergeCell ref="B801:C801"/>
    <mergeCell ref="B802:C802"/>
    <mergeCell ref="F775:G775"/>
    <mergeCell ref="F689:G689"/>
    <mergeCell ref="F749:G749"/>
    <mergeCell ref="D757:E757"/>
    <mergeCell ref="F757:G757"/>
    <mergeCell ref="F764:G764"/>
    <mergeCell ref="B755:D755"/>
    <mergeCell ref="B742:G742"/>
    <mergeCell ref="F136:G136"/>
    <mergeCell ref="B145:G145"/>
    <mergeCell ref="F258:G258"/>
    <mergeCell ref="D322:E322"/>
    <mergeCell ref="F322:G322"/>
    <mergeCell ref="D258:E258"/>
    <mergeCell ref="E308:F308"/>
    <mergeCell ref="F321:G321"/>
    <mergeCell ref="D169:E169"/>
    <mergeCell ref="B208:C208"/>
    <mergeCell ref="B214:C214"/>
    <mergeCell ref="B215:C215"/>
    <mergeCell ref="B209:C209"/>
    <mergeCell ref="D186:E186"/>
    <mergeCell ref="F257:G257"/>
    <mergeCell ref="B220:C220"/>
    <mergeCell ref="D226:E226"/>
    <mergeCell ref="F673:G673"/>
    <mergeCell ref="F688:G688"/>
    <mergeCell ref="B655:C655"/>
    <mergeCell ref="B676:C676"/>
    <mergeCell ref="B681:G681"/>
    <mergeCell ref="F644:G644"/>
    <mergeCell ref="B683:G683"/>
    <mergeCell ref="B685:G685"/>
    <mergeCell ref="D582:E582"/>
    <mergeCell ref="D644:E644"/>
    <mergeCell ref="D673:E673"/>
    <mergeCell ref="F672:G672"/>
    <mergeCell ref="F582:G582"/>
    <mergeCell ref="D594:E594"/>
    <mergeCell ref="F594:G594"/>
    <mergeCell ref="D625:E625"/>
    <mergeCell ref="F625:G625"/>
    <mergeCell ref="B669:G669"/>
    <mergeCell ref="B432:G432"/>
    <mergeCell ref="D494:E494"/>
    <mergeCell ref="D472:E472"/>
    <mergeCell ref="F493:G493"/>
    <mergeCell ref="B490:G490"/>
    <mergeCell ref="F414:G414"/>
    <mergeCell ref="F447:G447"/>
    <mergeCell ref="F390:G390"/>
    <mergeCell ref="B410:G410"/>
    <mergeCell ref="F415:G415"/>
    <mergeCell ref="B362:G362"/>
    <mergeCell ref="D415:E415"/>
    <mergeCell ref="B526:G526"/>
    <mergeCell ref="B450:B451"/>
    <mergeCell ref="B468:G468"/>
    <mergeCell ref="F624:G624"/>
    <mergeCell ref="F472:G472"/>
    <mergeCell ref="F471:G471"/>
    <mergeCell ref="F226:G226"/>
    <mergeCell ref="F448:G448"/>
    <mergeCell ref="F366:G366"/>
    <mergeCell ref="D448:E448"/>
    <mergeCell ref="F367:G367"/>
    <mergeCell ref="F389:G389"/>
    <mergeCell ref="D367:E367"/>
    <mergeCell ref="B383:G383"/>
    <mergeCell ref="F528:G528"/>
    <mergeCell ref="D390:E390"/>
    <mergeCell ref="B430:G430"/>
    <mergeCell ref="B434:G434"/>
    <mergeCell ref="D439:E439"/>
    <mergeCell ref="F439:G439"/>
    <mergeCell ref="F438:G438"/>
    <mergeCell ref="B436:G436"/>
    <mergeCell ref="P750:Q750"/>
    <mergeCell ref="R750:S750"/>
    <mergeCell ref="T750:U750"/>
    <mergeCell ref="B4:G4"/>
    <mergeCell ref="B38:G38"/>
    <mergeCell ref="B36:G36"/>
    <mergeCell ref="B34:G34"/>
    <mergeCell ref="B24:G24"/>
    <mergeCell ref="B22:G22"/>
    <mergeCell ref="B20:G20"/>
    <mergeCell ref="F5:G5"/>
    <mergeCell ref="D6:E6"/>
    <mergeCell ref="F559:G559"/>
    <mergeCell ref="F6:G6"/>
    <mergeCell ref="B18:G18"/>
    <mergeCell ref="B26:G26"/>
    <mergeCell ref="B28:G28"/>
    <mergeCell ref="B30:G30"/>
    <mergeCell ref="B212:C212"/>
    <mergeCell ref="B130:G130"/>
    <mergeCell ref="B211:C211"/>
    <mergeCell ref="F558:G558"/>
    <mergeCell ref="F581:G581"/>
    <mergeCell ref="F593:G593"/>
    <mergeCell ref="F878:G878"/>
    <mergeCell ref="B814:G814"/>
    <mergeCell ref="D878:E878"/>
    <mergeCell ref="F877:G877"/>
    <mergeCell ref="F822:G822"/>
    <mergeCell ref="D853:E853"/>
    <mergeCell ref="F833:G833"/>
    <mergeCell ref="F821:G821"/>
    <mergeCell ref="F852:G852"/>
    <mergeCell ref="D822:E822"/>
    <mergeCell ref="D865:E865"/>
    <mergeCell ref="B863:G863"/>
    <mergeCell ref="D833:E833"/>
    <mergeCell ref="F865:G865"/>
    <mergeCell ref="F832:G832"/>
    <mergeCell ref="F864:G864"/>
    <mergeCell ref="I594:I621"/>
    <mergeCell ref="D149:E149"/>
    <mergeCell ref="F149:G149"/>
    <mergeCell ref="D43:E43"/>
    <mergeCell ref="F43:G43"/>
    <mergeCell ref="B484:C484"/>
    <mergeCell ref="F494:G494"/>
    <mergeCell ref="B524:G524"/>
    <mergeCell ref="D529:E529"/>
    <mergeCell ref="F529:G529"/>
    <mergeCell ref="D200:E200"/>
    <mergeCell ref="F200:G200"/>
    <mergeCell ref="F186:G186"/>
    <mergeCell ref="B194:G194"/>
    <mergeCell ref="B182:G182"/>
    <mergeCell ref="B196:G196"/>
    <mergeCell ref="D136:E136"/>
    <mergeCell ref="F540:G540"/>
    <mergeCell ref="D541:E541"/>
    <mergeCell ref="B132:G132"/>
    <mergeCell ref="B206:C206"/>
    <mergeCell ref="D559:E559"/>
    <mergeCell ref="F541:G541"/>
    <mergeCell ref="B578:G578"/>
    <mergeCell ref="B32:G32"/>
    <mergeCell ref="D95:E95"/>
    <mergeCell ref="F95:G95"/>
    <mergeCell ref="B128:G128"/>
    <mergeCell ref="B818:G818"/>
    <mergeCell ref="F853:G853"/>
    <mergeCell ref="F756:G756"/>
    <mergeCell ref="F763:G763"/>
    <mergeCell ref="F774:G774"/>
    <mergeCell ref="F643:G643"/>
    <mergeCell ref="F750:G750"/>
    <mergeCell ref="D689:E689"/>
    <mergeCell ref="D764:E764"/>
    <mergeCell ref="F169:G169"/>
    <mergeCell ref="B180:G180"/>
    <mergeCell ref="F799:G799"/>
    <mergeCell ref="B792:G792"/>
    <mergeCell ref="B794:G794"/>
    <mergeCell ref="D775:E775"/>
    <mergeCell ref="B805:C805"/>
    <mergeCell ref="F800:G800"/>
    <mergeCell ref="B217:C217"/>
    <mergeCell ref="B218:C218"/>
    <mergeCell ref="B213:C213"/>
    <mergeCell ref="AF757:AG757"/>
    <mergeCell ref="AH757:AI757"/>
    <mergeCell ref="AJ757:AK757"/>
    <mergeCell ref="AL757:AM757"/>
    <mergeCell ref="V750:W750"/>
    <mergeCell ref="X750:Y750"/>
    <mergeCell ref="Z750:AA750"/>
    <mergeCell ref="AB750:AC750"/>
    <mergeCell ref="AD750:AE750"/>
    <mergeCell ref="AF750:AG750"/>
    <mergeCell ref="AH750:AI750"/>
    <mergeCell ref="AJ750:AK750"/>
    <mergeCell ref="AL750:AM750"/>
    <mergeCell ref="AF764:AG764"/>
    <mergeCell ref="AH764:AI764"/>
    <mergeCell ref="AJ764:AK764"/>
    <mergeCell ref="AL764:AM764"/>
    <mergeCell ref="L775:M775"/>
    <mergeCell ref="N775:O775"/>
    <mergeCell ref="P775:Q775"/>
    <mergeCell ref="R775:S775"/>
    <mergeCell ref="T775:U775"/>
    <mergeCell ref="V775:W775"/>
    <mergeCell ref="X775:Y775"/>
    <mergeCell ref="Z775:AA775"/>
    <mergeCell ref="AB775:AC775"/>
    <mergeCell ref="AD775:AE775"/>
    <mergeCell ref="AF775:AG775"/>
    <mergeCell ref="AH775:AI775"/>
    <mergeCell ref="AJ775:AK775"/>
    <mergeCell ref="AL775:AM775"/>
    <mergeCell ref="L764:M764"/>
    <mergeCell ref="N764:O764"/>
    <mergeCell ref="P764:Q764"/>
    <mergeCell ref="R764:S764"/>
    <mergeCell ref="T764:U764"/>
    <mergeCell ref="V764:W764"/>
    <mergeCell ref="H750:I750"/>
    <mergeCell ref="J750:K750"/>
    <mergeCell ref="H757:I757"/>
    <mergeCell ref="J757:K757"/>
    <mergeCell ref="H764:I764"/>
    <mergeCell ref="J764:K764"/>
    <mergeCell ref="H775:I775"/>
    <mergeCell ref="J775:K775"/>
    <mergeCell ref="AD764:AE764"/>
    <mergeCell ref="X764:Y764"/>
    <mergeCell ref="Z764:AA764"/>
    <mergeCell ref="AB764:AC764"/>
    <mergeCell ref="L757:M757"/>
    <mergeCell ref="N757:O757"/>
    <mergeCell ref="P757:Q757"/>
    <mergeCell ref="R757:S757"/>
    <mergeCell ref="T757:U757"/>
    <mergeCell ref="V757:W757"/>
    <mergeCell ref="X757:Y757"/>
    <mergeCell ref="Z757:AA757"/>
    <mergeCell ref="AB757:AC757"/>
    <mergeCell ref="AD757:AE757"/>
    <mergeCell ref="L750:M750"/>
    <mergeCell ref="N750:O750"/>
    <mergeCell ref="Z644:AA644"/>
    <mergeCell ref="AB644:AC644"/>
    <mergeCell ref="AD644:AE644"/>
    <mergeCell ref="AF644:AG644"/>
    <mergeCell ref="AH644:AI644"/>
    <mergeCell ref="AJ644:AK644"/>
    <mergeCell ref="AL644:AM644"/>
    <mergeCell ref="H644:I644"/>
    <mergeCell ref="J644:K644"/>
    <mergeCell ref="L644:M644"/>
    <mergeCell ref="N644:O644"/>
    <mergeCell ref="P644:Q644"/>
    <mergeCell ref="R644:S644"/>
    <mergeCell ref="T644:U644"/>
    <mergeCell ref="V644:W644"/>
    <mergeCell ref="X644:Y644"/>
  </mergeCells>
  <phoneticPr fontId="3" type="noConversion"/>
  <printOptions gridLines="1"/>
  <pageMargins left="0.23622047244094499" right="0.23622047244094499" top="0.23622047244094499" bottom="0.23622047244094499" header="0.511811023622047" footer="0.511811023622047"/>
  <pageSetup paperSize="9" scale="60" orientation="landscape" r:id="rId1"/>
  <headerFooter alignWithMargins="0"/>
  <rowBreaks count="1" manualBreakCount="1">
    <brk id="29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37"/>
  <sheetViews>
    <sheetView topLeftCell="A4" workbookViewId="0">
      <selection activeCell="G5" sqref="G5:I15"/>
    </sheetView>
  </sheetViews>
  <sheetFormatPr defaultRowHeight="12.75"/>
  <cols>
    <col min="1" max="1" width="9.5703125" bestFit="1" customWidth="1"/>
    <col min="2" max="2" width="14.5703125" style="876" customWidth="1"/>
    <col min="7" max="7" width="18.7109375" customWidth="1"/>
    <col min="8" max="8" width="13.85546875" customWidth="1"/>
    <col min="9" max="9" width="11.28515625" bestFit="1" customWidth="1"/>
  </cols>
  <sheetData>
    <row r="2" spans="1:9">
      <c r="A2" s="876">
        <v>0.302458</v>
      </c>
      <c r="B2" s="876">
        <f>ROUND(A2,2)</f>
        <v>0.3</v>
      </c>
      <c r="C2" s="877">
        <f>A2-B2</f>
        <v>2.4580000000000157E-3</v>
      </c>
    </row>
    <row r="3" spans="1:9">
      <c r="A3" s="876">
        <v>1.6686479999999999</v>
      </c>
      <c r="B3" s="876">
        <f>ROUND(A3,2)</f>
        <v>1.67</v>
      </c>
      <c r="C3" s="877">
        <f t="shared" ref="C3:C24" si="0">A3-B3</f>
        <v>-1.3520000000000199E-3</v>
      </c>
    </row>
    <row r="4" spans="1:9">
      <c r="A4" s="876">
        <v>26.167013999999998</v>
      </c>
      <c r="B4" s="876">
        <f t="shared" ref="B4:B36" si="1">ROUND(A4,2)</f>
        <v>26.17</v>
      </c>
      <c r="C4" s="877">
        <f t="shared" si="0"/>
        <v>-2.9860000000034859E-3</v>
      </c>
    </row>
    <row r="5" spans="1:9">
      <c r="A5" s="876">
        <v>17.248349999999999</v>
      </c>
      <c r="B5" s="876">
        <f t="shared" si="1"/>
        <v>17.25</v>
      </c>
      <c r="C5" s="877">
        <f t="shared" si="0"/>
        <v>-1.6500000000014836E-3</v>
      </c>
      <c r="G5" s="874" t="s">
        <v>1282</v>
      </c>
      <c r="H5" t="s">
        <v>1283</v>
      </c>
      <c r="I5" s="776">
        <f>'BS (I GAAP)'!E48</f>
        <v>0</v>
      </c>
    </row>
    <row r="6" spans="1:9">
      <c r="A6" s="876">
        <v>1.0916049999999999</v>
      </c>
      <c r="B6" s="876">
        <f t="shared" si="1"/>
        <v>1.0900000000000001</v>
      </c>
      <c r="C6" s="877">
        <f t="shared" si="0"/>
        <v>1.6049999999998565E-3</v>
      </c>
      <c r="H6" t="s">
        <v>1273</v>
      </c>
      <c r="I6" s="776">
        <f>'BS &amp; Notes 2014-15'!G970/1000000</f>
        <v>28575.196703000001</v>
      </c>
    </row>
    <row r="7" spans="1:9">
      <c r="A7" s="876">
        <v>47.310754000000003</v>
      </c>
      <c r="B7" s="876">
        <f t="shared" si="1"/>
        <v>47.31</v>
      </c>
      <c r="C7" s="877">
        <f t="shared" si="0"/>
        <v>7.5400000000058753E-4</v>
      </c>
      <c r="H7" t="s">
        <v>31</v>
      </c>
      <c r="I7" s="879">
        <f>'BS &amp; Notes 2014-15'!AI970/1000000</f>
        <v>11.77153</v>
      </c>
    </row>
    <row r="8" spans="1:9" ht="13.5" thickBot="1">
      <c r="A8" s="876">
        <v>0.78407499999999997</v>
      </c>
      <c r="B8" s="876">
        <f t="shared" si="1"/>
        <v>0.78</v>
      </c>
      <c r="C8" s="877">
        <f t="shared" si="0"/>
        <v>4.0749999999999398E-3</v>
      </c>
      <c r="I8" s="880">
        <f>I5-I6-I7</f>
        <v>-28586.968233000003</v>
      </c>
    </row>
    <row r="9" spans="1:9" ht="13.5" thickTop="1">
      <c r="A9" s="876">
        <v>25.778593999999998</v>
      </c>
      <c r="B9" s="876">
        <f t="shared" si="1"/>
        <v>25.78</v>
      </c>
      <c r="C9" s="877">
        <f t="shared" si="0"/>
        <v>-1.4060000000029049E-3</v>
      </c>
    </row>
    <row r="10" spans="1:9">
      <c r="A10" s="876">
        <v>16.562190000000001</v>
      </c>
      <c r="B10" s="876">
        <f t="shared" si="1"/>
        <v>16.559999999999999</v>
      </c>
      <c r="C10" s="877">
        <f t="shared" si="0"/>
        <v>2.1900000000023567E-3</v>
      </c>
      <c r="G10" s="874" t="s">
        <v>1284</v>
      </c>
    </row>
    <row r="11" spans="1:9">
      <c r="A11" s="876">
        <v>7.1433499999999999</v>
      </c>
      <c r="B11" s="876">
        <f t="shared" si="1"/>
        <v>7.14</v>
      </c>
      <c r="C11" s="877">
        <f t="shared" si="0"/>
        <v>3.3500000000001862E-3</v>
      </c>
    </row>
    <row r="12" spans="1:9">
      <c r="A12" s="876">
        <v>2.9943979999999999</v>
      </c>
      <c r="B12" s="876">
        <f t="shared" si="1"/>
        <v>2.99</v>
      </c>
      <c r="C12" s="877">
        <f t="shared" si="0"/>
        <v>4.3979999999996799E-3</v>
      </c>
      <c r="H12" t="s">
        <v>1283</v>
      </c>
      <c r="I12" s="776" t="e">
        <f>Notes!#REF!+Notes!#REF!-Notes!#REF!</f>
        <v>#REF!</v>
      </c>
    </row>
    <row r="13" spans="1:9">
      <c r="A13" s="876">
        <v>15.051733</v>
      </c>
      <c r="B13" s="876">
        <f t="shared" si="1"/>
        <v>15.05</v>
      </c>
      <c r="C13" s="877">
        <f t="shared" si="0"/>
        <v>1.7329999999997625E-3</v>
      </c>
      <c r="H13" t="s">
        <v>1273</v>
      </c>
      <c r="I13" s="776">
        <f>'BS &amp; Notes 2014-15'!G572/1000000</f>
        <v>76834.907032999996</v>
      </c>
    </row>
    <row r="14" spans="1:9">
      <c r="A14" s="876">
        <v>6.9036090000000003</v>
      </c>
      <c r="B14" s="876">
        <f t="shared" si="1"/>
        <v>6.9</v>
      </c>
      <c r="C14" s="877">
        <f t="shared" si="0"/>
        <v>3.6089999999999733E-3</v>
      </c>
      <c r="H14" t="s">
        <v>31</v>
      </c>
      <c r="I14" s="776">
        <f>'BS &amp; Notes 2014-15'!AI582</f>
        <v>0</v>
      </c>
    </row>
    <row r="15" spans="1:9" ht="13.5" thickBot="1">
      <c r="A15" s="876">
        <v>38.039406999999997</v>
      </c>
      <c r="B15" s="876">
        <f t="shared" si="1"/>
        <v>38.04</v>
      </c>
      <c r="C15" s="877">
        <f t="shared" si="0"/>
        <v>-5.930000000020641E-4</v>
      </c>
      <c r="I15" s="880" t="e">
        <f>I12-I13-I14</f>
        <v>#REF!</v>
      </c>
    </row>
    <row r="16" spans="1:9" ht="13.5" thickTop="1">
      <c r="A16" s="876">
        <v>18.857216999999999</v>
      </c>
      <c r="B16" s="876">
        <f t="shared" si="1"/>
        <v>18.86</v>
      </c>
      <c r="C16" s="877">
        <f t="shared" si="0"/>
        <v>-2.7830000000008681E-3</v>
      </c>
    </row>
    <row r="17" spans="1:3">
      <c r="A17" s="876">
        <v>6.7412150000000004</v>
      </c>
      <c r="B17" s="876">
        <f t="shared" si="1"/>
        <v>6.74</v>
      </c>
      <c r="C17" s="877">
        <f t="shared" si="0"/>
        <v>1.2150000000001882E-3</v>
      </c>
    </row>
    <row r="18" spans="1:3">
      <c r="A18" s="876">
        <v>48.481802999999999</v>
      </c>
      <c r="B18" s="876">
        <f t="shared" si="1"/>
        <v>48.48</v>
      </c>
      <c r="C18" s="877">
        <f t="shared" si="0"/>
        <v>1.8030000000024415E-3</v>
      </c>
    </row>
    <row r="19" spans="1:3">
      <c r="A19" s="876">
        <v>5.8327220000000004</v>
      </c>
      <c r="B19" s="876">
        <f t="shared" si="1"/>
        <v>5.83</v>
      </c>
      <c r="C19" s="877">
        <f t="shared" si="0"/>
        <v>2.7220000000003353E-3</v>
      </c>
    </row>
    <row r="20" spans="1:3">
      <c r="A20" s="876">
        <v>3.971543</v>
      </c>
      <c r="B20" s="876">
        <f t="shared" si="1"/>
        <v>3.97</v>
      </c>
      <c r="C20" s="877">
        <f t="shared" si="0"/>
        <v>1.54299999999985E-3</v>
      </c>
    </row>
    <row r="21" spans="1:3">
      <c r="A21" s="876">
        <v>0.43068699999999999</v>
      </c>
      <c r="B21" s="876">
        <f t="shared" si="1"/>
        <v>0.43</v>
      </c>
      <c r="C21" s="877">
        <f t="shared" si="0"/>
        <v>6.8699999999999317E-4</v>
      </c>
    </row>
    <row r="22" spans="1:3">
      <c r="A22" s="876">
        <v>5.4832429999999999</v>
      </c>
      <c r="B22" s="876">
        <f t="shared" si="1"/>
        <v>5.48</v>
      </c>
      <c r="C22" s="877">
        <f t="shared" si="0"/>
        <v>3.2429999999994408E-3</v>
      </c>
    </row>
    <row r="23" spans="1:3">
      <c r="A23" s="876">
        <v>18.307935000000001</v>
      </c>
      <c r="B23" s="876">
        <f t="shared" si="1"/>
        <v>18.309999999999999</v>
      </c>
      <c r="C23" s="877">
        <f t="shared" si="0"/>
        <v>-2.0649999999982072E-3</v>
      </c>
    </row>
    <row r="24" spans="1:3">
      <c r="A24" s="876">
        <v>0.183278</v>
      </c>
      <c r="B24" s="876">
        <f t="shared" si="1"/>
        <v>0.18</v>
      </c>
      <c r="C24" s="877">
        <f t="shared" si="0"/>
        <v>3.2780000000000031E-3</v>
      </c>
    </row>
    <row r="25" spans="1:3">
      <c r="A25">
        <v>3.3894500000000001</v>
      </c>
      <c r="B25" s="876">
        <f t="shared" si="1"/>
        <v>3.39</v>
      </c>
    </row>
    <row r="26" spans="1:3">
      <c r="A26">
        <v>7.537007</v>
      </c>
      <c r="B26" s="876">
        <f t="shared" si="1"/>
        <v>7.54</v>
      </c>
    </row>
    <row r="27" spans="1:3">
      <c r="A27">
        <v>22.025461</v>
      </c>
      <c r="B27" s="876">
        <f t="shared" si="1"/>
        <v>22.03</v>
      </c>
    </row>
    <row r="28" spans="1:3">
      <c r="A28">
        <v>4.6755300000000002</v>
      </c>
      <c r="B28" s="876">
        <f t="shared" si="1"/>
        <v>4.68</v>
      </c>
    </row>
    <row r="29" spans="1:3">
      <c r="A29">
        <v>-2.7352059999999998</v>
      </c>
      <c r="B29" s="876">
        <f t="shared" si="1"/>
        <v>-2.74</v>
      </c>
    </row>
    <row r="30" spans="1:3">
      <c r="A30">
        <v>8.5354740000000007</v>
      </c>
      <c r="B30" s="876">
        <f t="shared" si="1"/>
        <v>8.5399999999999991</v>
      </c>
    </row>
    <row r="31" spans="1:3">
      <c r="A31">
        <v>15.994766</v>
      </c>
      <c r="B31" s="876">
        <f t="shared" si="1"/>
        <v>15.99</v>
      </c>
    </row>
    <row r="32" spans="1:3">
      <c r="A32">
        <v>6.8553439999999997</v>
      </c>
      <c r="B32" s="876">
        <f t="shared" si="1"/>
        <v>6.86</v>
      </c>
    </row>
    <row r="33" spans="1:2">
      <c r="A33">
        <v>299.95690500000001</v>
      </c>
      <c r="B33" s="876">
        <f t="shared" si="1"/>
        <v>299.95999999999998</v>
      </c>
    </row>
    <row r="34" spans="1:2">
      <c r="A34">
        <v>78.34657</v>
      </c>
      <c r="B34" s="876">
        <f t="shared" si="1"/>
        <v>78.349999999999994</v>
      </c>
    </row>
    <row r="35" spans="1:2">
      <c r="A35">
        <v>12.355817</v>
      </c>
      <c r="B35" s="876">
        <f t="shared" si="1"/>
        <v>12.36</v>
      </c>
    </row>
    <row r="36" spans="1:2">
      <c r="A36">
        <v>63.109863999999995</v>
      </c>
      <c r="B36" s="876">
        <f t="shared" si="1"/>
        <v>63.11</v>
      </c>
    </row>
    <row r="37" spans="1:2">
      <c r="A37" s="876">
        <f>SUM(A2:A36)</f>
        <v>835.38281000000006</v>
      </c>
      <c r="B37" s="876">
        <f>SUM(B2:B36)</f>
        <v>835.38000000000022</v>
      </c>
    </row>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68"/>
  <sheetViews>
    <sheetView showGridLines="0" tabSelected="1" view="pageBreakPreview" topLeftCell="B1" zoomScale="60" zoomScaleNormal="55" workbookViewId="0">
      <selection activeCell="D6" sqref="D6"/>
    </sheetView>
  </sheetViews>
  <sheetFormatPr defaultRowHeight="15.75"/>
  <cols>
    <col min="1" max="1" width="5.85546875" style="1017" customWidth="1"/>
    <col min="2" max="2" width="93.7109375" style="1024" bestFit="1" customWidth="1"/>
    <col min="3" max="3" width="11.7109375" style="1017" customWidth="1"/>
    <col min="4" max="4" width="32.42578125" style="997" customWidth="1"/>
    <col min="5" max="5" width="26.7109375" style="997" customWidth="1"/>
    <col min="6" max="6" width="28.7109375" style="997" customWidth="1"/>
    <col min="7" max="7" width="114.42578125" style="1024" customWidth="1"/>
    <col min="8" max="9" width="9.140625" style="1024"/>
    <col min="10" max="10" width="13.42578125" style="1024" bestFit="1" customWidth="1"/>
    <col min="11" max="16384" width="9.140625" style="1024"/>
  </cols>
  <sheetData>
    <row r="1" spans="1:23" ht="23.25">
      <c r="A1" s="1140" t="s">
        <v>1466</v>
      </c>
      <c r="C1" s="1021"/>
      <c r="D1" s="999"/>
      <c r="E1" s="999"/>
      <c r="F1" s="999"/>
      <c r="G1" s="998"/>
    </row>
    <row r="2" spans="1:23" ht="23.25">
      <c r="A2" s="1000" t="s">
        <v>1487</v>
      </c>
      <c r="C2" s="1021"/>
      <c r="D2" s="999"/>
      <c r="E2" s="999"/>
      <c r="F2" s="999"/>
      <c r="G2" s="998"/>
    </row>
    <row r="3" spans="1:23" ht="23.25">
      <c r="A3" s="1018"/>
      <c r="B3" s="1001"/>
      <c r="C3" s="1021"/>
      <c r="D3" s="999"/>
      <c r="E3" s="999"/>
      <c r="F3" s="999"/>
      <c r="G3" s="1002" t="s">
        <v>1488</v>
      </c>
    </row>
    <row r="4" spans="1:23" ht="80.25" customHeight="1">
      <c r="A4" s="1019"/>
      <c r="B4" s="1004" t="s">
        <v>77</v>
      </c>
      <c r="C4" s="984" t="s">
        <v>1325</v>
      </c>
      <c r="D4" s="986" t="s">
        <v>1467</v>
      </c>
      <c r="E4" s="986" t="s">
        <v>1287</v>
      </c>
      <c r="F4" s="987" t="s">
        <v>1486</v>
      </c>
      <c r="G4" s="1429" t="s">
        <v>1723</v>
      </c>
    </row>
    <row r="5" spans="1:23" s="1136" customFormat="1" ht="23.25">
      <c r="A5" s="1122" t="s">
        <v>1406</v>
      </c>
      <c r="B5" s="988" t="s">
        <v>662</v>
      </c>
      <c r="C5" s="1121"/>
      <c r="D5" s="1008"/>
      <c r="E5" s="1008"/>
      <c r="F5" s="1008"/>
      <c r="G5" s="983"/>
      <c r="H5" s="1024"/>
      <c r="I5" s="1024"/>
      <c r="J5" s="1024"/>
      <c r="K5" s="1024"/>
      <c r="L5" s="1024"/>
      <c r="M5" s="1024"/>
      <c r="N5" s="1024"/>
      <c r="O5" s="1024"/>
      <c r="P5" s="1024"/>
      <c r="Q5" s="1024"/>
      <c r="R5" s="1024"/>
      <c r="S5" s="1024"/>
      <c r="T5" s="1024"/>
      <c r="U5" s="1024"/>
      <c r="V5" s="1024"/>
      <c r="W5" s="1024"/>
    </row>
    <row r="6" spans="1:23" s="1136" customFormat="1" ht="23.25">
      <c r="A6" s="1025"/>
      <c r="B6" s="983"/>
      <c r="C6" s="1121"/>
      <c r="D6" s="1008"/>
      <c r="E6" s="1008"/>
      <c r="F6" s="1008"/>
      <c r="G6" s="983"/>
      <c r="H6" s="1024"/>
      <c r="I6" s="1024"/>
      <c r="J6" s="1024"/>
      <c r="K6" s="1024"/>
      <c r="L6" s="1024"/>
      <c r="M6" s="1024"/>
      <c r="N6" s="1024"/>
      <c r="O6" s="1024"/>
      <c r="P6" s="1024"/>
      <c r="Q6" s="1024"/>
      <c r="R6" s="1024"/>
      <c r="S6" s="1024"/>
      <c r="T6" s="1024"/>
      <c r="U6" s="1024"/>
      <c r="V6" s="1024"/>
      <c r="W6" s="1024"/>
    </row>
    <row r="7" spans="1:23" s="1136" customFormat="1" ht="23.25">
      <c r="A7" s="1555">
        <v>1</v>
      </c>
      <c r="B7" s="988" t="s">
        <v>1295</v>
      </c>
      <c r="C7" s="1121"/>
      <c r="D7" s="1008"/>
      <c r="E7" s="1008"/>
      <c r="F7" s="1008"/>
      <c r="G7" s="983"/>
      <c r="H7" s="1024"/>
      <c r="I7" s="1024"/>
      <c r="J7" s="1024"/>
      <c r="K7" s="1024"/>
      <c r="L7" s="1024"/>
      <c r="M7" s="1024"/>
      <c r="N7" s="1024"/>
      <c r="O7" s="1024"/>
      <c r="P7" s="1024"/>
      <c r="Q7" s="1024"/>
      <c r="R7" s="1024"/>
      <c r="S7" s="1024"/>
      <c r="T7" s="1024"/>
      <c r="U7" s="1024"/>
      <c r="V7" s="1024"/>
      <c r="W7" s="1024"/>
    </row>
    <row r="8" spans="1:23" s="1136" customFormat="1" ht="23.25">
      <c r="A8" s="1555"/>
      <c r="B8" s="983" t="s">
        <v>1336</v>
      </c>
      <c r="C8" s="1121">
        <f>PPE!A4</f>
        <v>1</v>
      </c>
      <c r="D8" s="1008">
        <f>PPE!D50</f>
        <v>0</v>
      </c>
      <c r="E8" s="1249">
        <f>PPE!E50</f>
        <v>0</v>
      </c>
      <c r="F8" s="1008">
        <f>D8+E8</f>
        <v>0</v>
      </c>
      <c r="G8" s="1003"/>
      <c r="H8" s="1024"/>
      <c r="I8" s="1024"/>
      <c r="J8" s="1024"/>
      <c r="K8" s="1024"/>
      <c r="L8" s="1024"/>
      <c r="M8" s="1024"/>
      <c r="N8" s="1024"/>
      <c r="O8" s="1024"/>
      <c r="P8" s="1024"/>
      <c r="Q8" s="1024"/>
      <c r="R8" s="1024"/>
      <c r="S8" s="1024"/>
      <c r="T8" s="1024"/>
      <c r="U8" s="1024"/>
      <c r="V8" s="1024"/>
      <c r="W8" s="1024"/>
    </row>
    <row r="9" spans="1:23" s="1136" customFormat="1" ht="23.25">
      <c r="A9" s="1555"/>
      <c r="B9" s="983" t="s">
        <v>1368</v>
      </c>
      <c r="C9" s="1121">
        <f>PPE!A60</f>
        <v>2</v>
      </c>
      <c r="D9" s="1009">
        <f>PPE!D74</f>
        <v>0</v>
      </c>
      <c r="E9" s="1250">
        <f>PPE!E74</f>
        <v>0</v>
      </c>
      <c r="F9" s="1008">
        <f t="shared" ref="F9:F12" si="0">D9+E9</f>
        <v>0</v>
      </c>
      <c r="G9" s="1003"/>
      <c r="H9" s="1024"/>
      <c r="I9" s="1014"/>
      <c r="J9" s="1014"/>
      <c r="K9" s="1024"/>
      <c r="L9" s="1024"/>
      <c r="M9" s="1024"/>
      <c r="N9" s="1024"/>
      <c r="O9" s="1024"/>
      <c r="P9" s="1024"/>
      <c r="Q9" s="1024"/>
      <c r="R9" s="1024"/>
      <c r="S9" s="1024"/>
      <c r="T9" s="1024"/>
      <c r="U9" s="1024"/>
      <c r="V9" s="1024"/>
      <c r="W9" s="1024"/>
    </row>
    <row r="10" spans="1:23" s="1136" customFormat="1" ht="23.25">
      <c r="A10" s="1555"/>
      <c r="B10" s="983" t="s">
        <v>1369</v>
      </c>
      <c r="C10" s="1137">
        <f>PPE!A76</f>
        <v>3</v>
      </c>
      <c r="D10" s="1008">
        <f>+PPE!D82</f>
        <v>0</v>
      </c>
      <c r="E10" s="1250">
        <f>+PPE!E82</f>
        <v>0</v>
      </c>
      <c r="F10" s="1008">
        <f t="shared" si="0"/>
        <v>0</v>
      </c>
      <c r="G10" s="1310"/>
      <c r="H10" s="1024"/>
      <c r="I10" s="1024"/>
      <c r="J10" s="1015"/>
      <c r="K10" s="1024"/>
      <c r="L10" s="1024"/>
      <c r="M10" s="1024"/>
      <c r="N10" s="1024"/>
      <c r="O10" s="1024"/>
      <c r="P10" s="1024"/>
      <c r="Q10" s="1024"/>
      <c r="R10" s="1024"/>
      <c r="S10" s="1024"/>
      <c r="T10" s="1024"/>
      <c r="U10" s="1024"/>
      <c r="V10" s="1024"/>
      <c r="W10" s="1024"/>
    </row>
    <row r="11" spans="1:23" s="1136" customFormat="1" ht="23.25">
      <c r="A11" s="1555"/>
      <c r="B11" s="983" t="s">
        <v>1370</v>
      </c>
      <c r="C11" s="1137"/>
      <c r="D11" s="1008"/>
      <c r="E11" s="1249"/>
      <c r="F11" s="1008"/>
      <c r="G11" s="1003"/>
      <c r="J11" s="1015"/>
    </row>
    <row r="12" spans="1:23" s="1136" customFormat="1" ht="23.25">
      <c r="A12" s="1555"/>
      <c r="B12" s="983" t="s">
        <v>1371</v>
      </c>
      <c r="C12" s="1121">
        <f>PPE!A111</f>
        <v>4</v>
      </c>
      <c r="D12" s="1009">
        <f>PPE!D118</f>
        <v>0</v>
      </c>
      <c r="E12" s="1250">
        <f>PPE!E118</f>
        <v>0</v>
      </c>
      <c r="F12" s="1009">
        <f t="shared" si="0"/>
        <v>0</v>
      </c>
      <c r="G12" s="1003"/>
      <c r="H12" s="1024"/>
      <c r="I12" s="1024"/>
      <c r="J12" s="1015"/>
      <c r="K12" s="1024"/>
      <c r="L12" s="1024"/>
      <c r="M12" s="1024"/>
      <c r="N12" s="1024"/>
      <c r="O12" s="1024"/>
      <c r="P12" s="1024"/>
      <c r="Q12" s="1024"/>
      <c r="R12" s="1024"/>
      <c r="S12" s="1024"/>
      <c r="T12" s="1024"/>
      <c r="U12" s="1024"/>
      <c r="V12" s="1024"/>
      <c r="W12" s="1024"/>
    </row>
    <row r="13" spans="1:23" s="1136" customFormat="1" ht="23.25">
      <c r="A13" s="1555"/>
      <c r="B13" s="983" t="s">
        <v>1372</v>
      </c>
      <c r="C13" s="1137"/>
      <c r="D13" s="1009"/>
      <c r="E13" s="1250"/>
      <c r="F13" s="1009"/>
      <c r="G13" s="1003"/>
      <c r="J13" s="1015"/>
    </row>
    <row r="14" spans="1:23" s="1136" customFormat="1" ht="23.25">
      <c r="A14" s="1555"/>
      <c r="B14" s="983" t="s">
        <v>1373</v>
      </c>
      <c r="C14" s="1137"/>
      <c r="D14" s="1009"/>
      <c r="E14" s="1250"/>
      <c r="F14" s="1009"/>
      <c r="G14" s="1003"/>
      <c r="J14" s="1015"/>
    </row>
    <row r="15" spans="1:23" s="1136" customFormat="1" ht="23.25">
      <c r="A15" s="1555"/>
      <c r="B15" s="983" t="s">
        <v>1374</v>
      </c>
      <c r="C15" s="1121"/>
      <c r="D15" s="1008"/>
      <c r="E15" s="1250"/>
      <c r="F15" s="1008"/>
      <c r="G15" s="983"/>
      <c r="H15" s="1024"/>
      <c r="I15" s="1024"/>
      <c r="J15" s="1024"/>
      <c r="K15" s="1024"/>
      <c r="L15" s="1024"/>
      <c r="M15" s="1024"/>
      <c r="N15" s="1024"/>
      <c r="O15" s="1024"/>
      <c r="P15" s="1024"/>
      <c r="Q15" s="1024"/>
      <c r="R15" s="1024"/>
      <c r="S15" s="1024"/>
      <c r="T15" s="1024"/>
      <c r="U15" s="1024"/>
      <c r="V15" s="1024"/>
      <c r="W15" s="1024"/>
    </row>
    <row r="16" spans="1:23" s="1136" customFormat="1" ht="23.25">
      <c r="A16" s="1555"/>
      <c r="B16" s="983" t="s">
        <v>1296</v>
      </c>
      <c r="C16" s="1121">
        <f>Notes!A4</f>
        <v>5</v>
      </c>
      <c r="D16" s="1008">
        <f>+Notes!C44</f>
        <v>0</v>
      </c>
      <c r="E16" s="1250">
        <f>+Notes!D44</f>
        <v>0</v>
      </c>
      <c r="F16" s="1008">
        <f>D16+E16</f>
        <v>0</v>
      </c>
      <c r="G16" s="1003"/>
      <c r="H16" s="1024"/>
      <c r="I16" s="1024"/>
      <c r="J16" s="1024"/>
      <c r="K16" s="1024"/>
      <c r="L16" s="1024"/>
      <c r="M16" s="1024"/>
      <c r="N16" s="1024"/>
      <c r="O16" s="1024"/>
      <c r="P16" s="1024"/>
      <c r="Q16" s="1024"/>
      <c r="R16" s="1024"/>
      <c r="S16" s="1024"/>
      <c r="T16" s="1024"/>
      <c r="U16" s="1024"/>
      <c r="V16" s="1024"/>
      <c r="W16" s="1024"/>
    </row>
    <row r="17" spans="1:23" s="1136" customFormat="1" ht="54.75" customHeight="1">
      <c r="A17" s="1555"/>
      <c r="B17" s="983" t="s">
        <v>1634</v>
      </c>
      <c r="C17" s="1171">
        <f>Notes!A66</f>
        <v>6</v>
      </c>
      <c r="D17" s="1008">
        <f>Notes!C78</f>
        <v>0</v>
      </c>
      <c r="E17" s="1250">
        <f>Notes!D78</f>
        <v>0</v>
      </c>
      <c r="F17" s="1008">
        <f>D17+E17</f>
        <v>0</v>
      </c>
      <c r="G17" s="1289"/>
    </row>
    <row r="18" spans="1:23" s="1136" customFormat="1" ht="23.25">
      <c r="A18" s="1555"/>
      <c r="B18" s="983" t="s">
        <v>1375</v>
      </c>
      <c r="C18" s="1171">
        <f>Notes!A82</f>
        <v>7</v>
      </c>
      <c r="D18" s="1008">
        <f>+Notes!C151</f>
        <v>0</v>
      </c>
      <c r="E18" s="1250">
        <f>Notes!D151</f>
        <v>0</v>
      </c>
      <c r="F18" s="1008">
        <f t="shared" ref="F18:F21" si="1">D18+E18</f>
        <v>0</v>
      </c>
      <c r="G18" s="1310"/>
      <c r="H18" s="1024"/>
      <c r="I18" s="1024"/>
      <c r="J18" s="1024"/>
      <c r="K18" s="1024"/>
      <c r="L18" s="1024"/>
      <c r="M18" s="1024"/>
      <c r="N18" s="1024"/>
      <c r="O18" s="1024"/>
      <c r="P18" s="1024"/>
      <c r="Q18" s="1024"/>
      <c r="R18" s="1024"/>
      <c r="S18" s="1024"/>
      <c r="T18" s="1024"/>
      <c r="U18" s="1024"/>
      <c r="V18" s="1024"/>
      <c r="W18" s="1024"/>
    </row>
    <row r="19" spans="1:23" s="1136" customFormat="1" ht="23.25">
      <c r="A19" s="1555"/>
      <c r="B19" s="983" t="s">
        <v>1297</v>
      </c>
      <c r="C19" s="1121">
        <f>Notes!A155</f>
        <v>8</v>
      </c>
      <c r="D19" s="1008">
        <v>0</v>
      </c>
      <c r="E19" s="1250">
        <f>Notes!D164</f>
        <v>0</v>
      </c>
      <c r="F19" s="1008">
        <f t="shared" si="1"/>
        <v>0</v>
      </c>
      <c r="G19" s="983"/>
      <c r="H19" s="1024"/>
      <c r="I19" s="1024"/>
      <c r="J19" s="1024"/>
      <c r="K19" s="1024"/>
      <c r="L19" s="1024"/>
      <c r="M19" s="1024"/>
      <c r="N19" s="1024"/>
      <c r="O19" s="1024"/>
      <c r="P19" s="1024"/>
      <c r="Q19" s="1024"/>
      <c r="R19" s="1024"/>
      <c r="S19" s="1024"/>
      <c r="T19" s="1024"/>
      <c r="U19" s="1024"/>
      <c r="V19" s="1024"/>
      <c r="W19" s="1024"/>
    </row>
    <row r="20" spans="1:23" s="1136" customFormat="1" ht="23.25">
      <c r="A20" s="1555"/>
      <c r="B20" s="983" t="s">
        <v>1442</v>
      </c>
      <c r="C20" s="1121">
        <f>Notes!A169</f>
        <v>9</v>
      </c>
      <c r="D20" s="1008">
        <f>Notes!C176</f>
        <v>0</v>
      </c>
      <c r="E20" s="1250">
        <f>Notes!D176</f>
        <v>0</v>
      </c>
      <c r="F20" s="1008">
        <f t="shared" si="1"/>
        <v>0</v>
      </c>
      <c r="G20" s="983"/>
      <c r="H20" s="1024"/>
      <c r="I20" s="1024"/>
      <c r="J20" s="1024"/>
      <c r="K20" s="1024"/>
      <c r="L20" s="1024"/>
      <c r="M20" s="1024"/>
      <c r="N20" s="1024"/>
      <c r="O20" s="1024"/>
      <c r="P20" s="1024"/>
      <c r="Q20" s="1024"/>
      <c r="R20" s="1024"/>
      <c r="S20" s="1024"/>
      <c r="T20" s="1024"/>
      <c r="U20" s="1024"/>
      <c r="V20" s="1024"/>
      <c r="W20" s="1024"/>
    </row>
    <row r="21" spans="1:23" s="1136" customFormat="1" ht="23.25">
      <c r="A21" s="1555"/>
      <c r="B21" s="983" t="s">
        <v>1443</v>
      </c>
      <c r="C21" s="1121">
        <f>Notes!A178</f>
        <v>10</v>
      </c>
      <c r="D21" s="1008">
        <f>Notes!C248</f>
        <v>0</v>
      </c>
      <c r="E21" s="1250">
        <f>Notes!D248</f>
        <v>0</v>
      </c>
      <c r="F21" s="1008">
        <f t="shared" si="1"/>
        <v>0</v>
      </c>
      <c r="G21" s="983"/>
      <c r="H21" s="1024"/>
      <c r="I21" s="1024"/>
      <c r="J21" s="1024"/>
      <c r="K21" s="1024"/>
      <c r="L21" s="1024"/>
      <c r="M21" s="1024"/>
      <c r="N21" s="1024"/>
      <c r="O21" s="1024"/>
      <c r="P21" s="1024"/>
      <c r="Q21" s="1024"/>
      <c r="R21" s="1024"/>
      <c r="S21" s="1024"/>
      <c r="T21" s="1024"/>
      <c r="U21" s="1024"/>
      <c r="V21" s="1024"/>
      <c r="W21" s="1024"/>
    </row>
    <row r="22" spans="1:23" s="1136" customFormat="1" ht="23.25">
      <c r="A22" s="1020"/>
      <c r="B22" s="1120"/>
      <c r="C22" s="1020"/>
      <c r="D22" s="1008">
        <f>SUM(D8:D21)</f>
        <v>0</v>
      </c>
      <c r="E22" s="1250">
        <f t="shared" ref="E22" si="2">SUM(E8:E21)</f>
        <v>0</v>
      </c>
      <c r="F22" s="1008">
        <f>SUM(F8:F21)</f>
        <v>0</v>
      </c>
      <c r="G22" s="1013"/>
      <c r="H22" s="1024"/>
      <c r="I22" s="1024"/>
      <c r="J22" s="1024"/>
      <c r="K22" s="1024"/>
      <c r="L22" s="1024"/>
      <c r="M22" s="1024"/>
      <c r="N22" s="1024"/>
      <c r="O22" s="1024"/>
      <c r="P22" s="1024"/>
      <c r="Q22" s="1024"/>
      <c r="R22" s="1024"/>
      <c r="S22" s="1024"/>
      <c r="T22" s="1024"/>
      <c r="U22" s="1024"/>
      <c r="V22" s="1024"/>
      <c r="W22" s="1024"/>
    </row>
    <row r="23" spans="1:23" s="1136" customFormat="1" ht="23.25">
      <c r="A23" s="1549">
        <v>2</v>
      </c>
      <c r="B23" s="988" t="s">
        <v>1298</v>
      </c>
      <c r="C23" s="1121"/>
      <c r="D23" s="1008"/>
      <c r="E23" s="1250"/>
      <c r="F23" s="1008"/>
      <c r="G23" s="983"/>
      <c r="H23" s="1024"/>
      <c r="I23" s="1024"/>
      <c r="J23" s="1024"/>
      <c r="K23" s="1024"/>
      <c r="L23" s="1024"/>
      <c r="M23" s="1024"/>
      <c r="N23" s="1024"/>
      <c r="O23" s="1024"/>
      <c r="P23" s="1024"/>
      <c r="Q23" s="1024"/>
      <c r="R23" s="1024"/>
      <c r="S23" s="1024"/>
      <c r="T23" s="1024"/>
      <c r="U23" s="1024"/>
      <c r="V23" s="1024"/>
      <c r="W23" s="1024"/>
    </row>
    <row r="24" spans="1:23" s="1136" customFormat="1" ht="23.25">
      <c r="A24" s="1550"/>
      <c r="B24" s="983" t="s">
        <v>1376</v>
      </c>
      <c r="C24" s="1121">
        <f>Notes!A256</f>
        <v>11</v>
      </c>
      <c r="D24" s="1009">
        <f>+Notes!C268</f>
        <v>0</v>
      </c>
      <c r="E24" s="1250">
        <f>Notes!D268</f>
        <v>0</v>
      </c>
      <c r="F24" s="1008">
        <f t="shared" ref="F24" si="3">D24+E24</f>
        <v>0</v>
      </c>
      <c r="G24" s="1003"/>
      <c r="H24" s="1024"/>
      <c r="I24" s="1024"/>
      <c r="J24" s="1024"/>
      <c r="K24" s="1024"/>
      <c r="L24" s="1024"/>
      <c r="M24" s="1024"/>
      <c r="N24" s="1024"/>
      <c r="O24" s="1024"/>
      <c r="P24" s="1024"/>
      <c r="Q24" s="1024"/>
      <c r="R24" s="1024"/>
      <c r="S24" s="1024"/>
      <c r="T24" s="1024"/>
      <c r="U24" s="1024"/>
      <c r="V24" s="1024"/>
      <c r="W24" s="1024"/>
    </row>
    <row r="25" spans="1:23" s="1136" customFormat="1" ht="23.25">
      <c r="A25" s="1550"/>
      <c r="B25" s="983" t="s">
        <v>1377</v>
      </c>
      <c r="C25" s="1121"/>
      <c r="D25" s="1008"/>
      <c r="E25" s="1250"/>
      <c r="F25" s="1008"/>
      <c r="G25" s="983"/>
      <c r="H25" s="1024"/>
      <c r="I25" s="1024"/>
      <c r="J25" s="1024"/>
      <c r="K25" s="1024"/>
      <c r="L25" s="1024"/>
      <c r="M25" s="1024"/>
      <c r="N25" s="1024"/>
      <c r="O25" s="1024"/>
      <c r="P25" s="1024"/>
      <c r="Q25" s="1024"/>
      <c r="R25" s="1024"/>
      <c r="S25" s="1024"/>
      <c r="T25" s="1024"/>
      <c r="U25" s="1024"/>
      <c r="V25" s="1024"/>
      <c r="W25" s="1024"/>
    </row>
    <row r="26" spans="1:23" s="1136" customFormat="1" ht="23.25">
      <c r="A26" s="1550"/>
      <c r="B26" s="983" t="s">
        <v>1380</v>
      </c>
      <c r="C26" s="1121"/>
      <c r="D26" s="1008">
        <v>0</v>
      </c>
      <c r="E26" s="1250">
        <v>0</v>
      </c>
      <c r="F26" s="1008">
        <f t="shared" ref="F26:F32" si="4">D26+E26</f>
        <v>0</v>
      </c>
      <c r="G26" s="983"/>
      <c r="H26" s="1024"/>
      <c r="I26" s="1024"/>
      <c r="J26" s="1024"/>
      <c r="K26" s="1024"/>
      <c r="L26" s="1024"/>
      <c r="M26" s="1024"/>
      <c r="N26" s="1024"/>
      <c r="O26" s="1024"/>
      <c r="P26" s="1024"/>
      <c r="Q26" s="1024"/>
      <c r="R26" s="1024"/>
      <c r="S26" s="1024"/>
      <c r="T26" s="1024"/>
      <c r="U26" s="1024"/>
      <c r="V26" s="1024"/>
      <c r="W26" s="1024"/>
    </row>
    <row r="27" spans="1:23" s="1136" customFormat="1" ht="23.25">
      <c r="A27" s="1550"/>
      <c r="B27" s="983" t="s">
        <v>1381</v>
      </c>
      <c r="C27" s="1121">
        <f>Notes!A271</f>
        <v>12</v>
      </c>
      <c r="D27" s="1009">
        <f>Notes!C291</f>
        <v>0</v>
      </c>
      <c r="E27" s="1251">
        <f>+Notes!D291</f>
        <v>0</v>
      </c>
      <c r="F27" s="1008">
        <f t="shared" si="4"/>
        <v>0</v>
      </c>
      <c r="G27" s="1003"/>
      <c r="H27" s="1024"/>
      <c r="I27" s="1024"/>
      <c r="J27" s="1024"/>
      <c r="K27" s="1024"/>
      <c r="L27" s="1024"/>
      <c r="M27" s="1024"/>
      <c r="N27" s="1024"/>
      <c r="O27" s="1024"/>
      <c r="P27" s="1024"/>
      <c r="Q27" s="1024"/>
      <c r="R27" s="1024"/>
      <c r="S27" s="1024"/>
      <c r="T27" s="1024"/>
      <c r="U27" s="1024"/>
      <c r="V27" s="1024"/>
      <c r="W27" s="1024"/>
    </row>
    <row r="28" spans="1:23" s="1136" customFormat="1" ht="23.25">
      <c r="A28" s="1550"/>
      <c r="B28" s="983" t="s">
        <v>1382</v>
      </c>
      <c r="C28" s="1121">
        <f>Notes!A293</f>
        <v>13</v>
      </c>
      <c r="D28" s="1008">
        <f>Notes!C313</f>
        <v>0</v>
      </c>
      <c r="E28" s="1250">
        <f>Notes!D313</f>
        <v>0</v>
      </c>
      <c r="F28" s="1008">
        <f t="shared" si="4"/>
        <v>0</v>
      </c>
      <c r="G28" s="1003"/>
      <c r="H28" s="1024"/>
      <c r="I28" s="1024"/>
      <c r="J28" s="1024"/>
      <c r="K28" s="1024"/>
      <c r="L28" s="1024"/>
      <c r="M28" s="1024"/>
      <c r="N28" s="1024"/>
      <c r="O28" s="1024"/>
      <c r="P28" s="1024"/>
      <c r="Q28" s="1024"/>
      <c r="R28" s="1024"/>
      <c r="S28" s="1024"/>
      <c r="T28" s="1024"/>
      <c r="U28" s="1024"/>
      <c r="V28" s="1024"/>
      <c r="W28" s="1024"/>
    </row>
    <row r="29" spans="1:23" s="1136" customFormat="1" ht="23.25">
      <c r="A29" s="1550"/>
      <c r="B29" s="983" t="s">
        <v>1383</v>
      </c>
      <c r="C29" s="1171">
        <f>Notes!A317</f>
        <v>14</v>
      </c>
      <c r="D29" s="1008">
        <f>Notes!C328</f>
        <v>0</v>
      </c>
      <c r="E29" s="1250">
        <f>Notes!D328</f>
        <v>0</v>
      </c>
      <c r="F29" s="1008">
        <f t="shared" si="4"/>
        <v>0</v>
      </c>
      <c r="G29" s="1003"/>
    </row>
    <row r="30" spans="1:23" s="1136" customFormat="1" ht="23.25">
      <c r="A30" s="1550"/>
      <c r="B30" s="983" t="s">
        <v>1384</v>
      </c>
      <c r="C30" s="1171">
        <f>Notes!A332</f>
        <v>15</v>
      </c>
      <c r="D30" s="1008">
        <f>+Notes!C400</f>
        <v>0</v>
      </c>
      <c r="E30" s="1250">
        <f>+Notes!D400</f>
        <v>0</v>
      </c>
      <c r="F30" s="1008">
        <f t="shared" si="4"/>
        <v>0</v>
      </c>
      <c r="G30" s="1003"/>
      <c r="H30" s="1024"/>
      <c r="I30" s="1024"/>
      <c r="J30" s="1024"/>
      <c r="K30" s="1024"/>
      <c r="L30" s="1024"/>
      <c r="M30" s="1024"/>
      <c r="N30" s="1024"/>
      <c r="O30" s="1024"/>
      <c r="P30" s="1024"/>
      <c r="Q30" s="1024"/>
      <c r="R30" s="1024"/>
      <c r="S30" s="1024"/>
      <c r="T30" s="1024"/>
      <c r="U30" s="1024"/>
      <c r="V30" s="1024"/>
      <c r="W30" s="1024"/>
    </row>
    <row r="31" spans="1:23" s="1136" customFormat="1" ht="23.25">
      <c r="A31" s="1550"/>
      <c r="B31" s="983" t="s">
        <v>1385</v>
      </c>
      <c r="C31" s="1137">
        <f>Notes!A405</f>
        <v>16</v>
      </c>
      <c r="D31" s="1008"/>
      <c r="E31" s="1250"/>
      <c r="F31" s="1008"/>
      <c r="G31" s="983"/>
    </row>
    <row r="32" spans="1:23" s="1136" customFormat="1" ht="23.25">
      <c r="A32" s="1550"/>
      <c r="B32" s="983" t="s">
        <v>1378</v>
      </c>
      <c r="C32" s="1121">
        <f>Notes!A420</f>
        <v>17</v>
      </c>
      <c r="D32" s="1008">
        <f>+Notes!C426</f>
        <v>0</v>
      </c>
      <c r="E32" s="1250">
        <f>+Notes!D426</f>
        <v>0</v>
      </c>
      <c r="F32" s="1008">
        <f t="shared" si="4"/>
        <v>0</v>
      </c>
      <c r="G32" s="983"/>
      <c r="H32" s="1024"/>
      <c r="I32" s="1024"/>
      <c r="J32" s="1024"/>
      <c r="K32" s="1024"/>
      <c r="L32" s="1024"/>
      <c r="M32" s="1024"/>
      <c r="N32" s="1024"/>
      <c r="O32" s="1024"/>
      <c r="P32" s="1024"/>
      <c r="Q32" s="1024"/>
      <c r="R32" s="1024"/>
      <c r="S32" s="1024"/>
      <c r="T32" s="1024"/>
      <c r="U32" s="1024"/>
      <c r="V32" s="1024"/>
      <c r="W32" s="1024"/>
    </row>
    <row r="33" spans="1:23" s="1136" customFormat="1" ht="23.25">
      <c r="A33" s="1551"/>
      <c r="B33" s="983" t="s">
        <v>1379</v>
      </c>
      <c r="C33" s="1121">
        <f>Notes!A430</f>
        <v>18</v>
      </c>
      <c r="D33" s="1008">
        <f>Notes!C481</f>
        <v>0</v>
      </c>
      <c r="E33" s="1250">
        <f>Notes!D481</f>
        <v>0</v>
      </c>
      <c r="F33" s="1008">
        <f>D33+E33</f>
        <v>0</v>
      </c>
      <c r="G33" s="983"/>
      <c r="H33" s="1024"/>
      <c r="I33" s="1024"/>
      <c r="J33" s="1024"/>
      <c r="K33" s="1024"/>
      <c r="L33" s="1024"/>
      <c r="M33" s="1024"/>
      <c r="N33" s="1024"/>
      <c r="O33" s="1024"/>
      <c r="P33" s="1024"/>
      <c r="Q33" s="1024"/>
      <c r="R33" s="1024"/>
      <c r="S33" s="1024"/>
      <c r="T33" s="1024"/>
      <c r="U33" s="1024"/>
      <c r="V33" s="1024"/>
      <c r="W33" s="1024"/>
    </row>
    <row r="34" spans="1:23" s="1136" customFormat="1" ht="23.25">
      <c r="A34" s="1025"/>
      <c r="C34" s="1121"/>
      <c r="D34" s="1374">
        <f>SUM(D24:D33)</f>
        <v>0</v>
      </c>
      <c r="E34" s="1375">
        <f>SUM(E24:E33)</f>
        <v>0</v>
      </c>
      <c r="F34" s="1008">
        <f>D34+E34</f>
        <v>0</v>
      </c>
      <c r="G34" s="983"/>
      <c r="H34" s="1024"/>
      <c r="I34" s="1024"/>
      <c r="J34" s="1024"/>
      <c r="K34" s="1024"/>
      <c r="L34" s="1024"/>
      <c r="M34" s="1024"/>
      <c r="N34" s="1024"/>
      <c r="O34" s="1024"/>
      <c r="P34" s="1024"/>
      <c r="Q34" s="1024"/>
      <c r="R34" s="1024"/>
      <c r="S34" s="1024"/>
      <c r="T34" s="1024"/>
      <c r="U34" s="1024"/>
      <c r="V34" s="1024"/>
      <c r="W34" s="1024"/>
    </row>
    <row r="35" spans="1:23" s="1136" customFormat="1" ht="23.25">
      <c r="A35" s="1111"/>
      <c r="B35" s="983"/>
      <c r="C35" s="1121"/>
      <c r="D35" s="1011"/>
      <c r="E35" s="1008"/>
      <c r="F35" s="1011"/>
      <c r="G35" s="983"/>
      <c r="H35" s="1110"/>
      <c r="I35" s="1110"/>
      <c r="J35" s="1110"/>
      <c r="K35" s="1110"/>
      <c r="L35" s="1110"/>
      <c r="M35" s="1110"/>
      <c r="N35" s="1110"/>
      <c r="O35" s="1110"/>
      <c r="P35" s="1110"/>
      <c r="Q35" s="1110"/>
      <c r="R35" s="1110"/>
      <c r="S35" s="1110"/>
      <c r="T35" s="1110"/>
      <c r="U35" s="1110"/>
      <c r="V35" s="1110"/>
      <c r="W35" s="1110"/>
    </row>
    <row r="36" spans="1:23" s="1136" customFormat="1" ht="23.25">
      <c r="A36" s="1025"/>
      <c r="B36" s="1012" t="s">
        <v>806</v>
      </c>
      <c r="C36" s="1121"/>
      <c r="D36" s="1186">
        <f>D34+D22</f>
        <v>0</v>
      </c>
      <c r="E36" s="1011">
        <f>E34+E22</f>
        <v>0</v>
      </c>
      <c r="F36" s="1011">
        <f>ROUNDDOWN(+F34+F22,2)</f>
        <v>0</v>
      </c>
      <c r="G36" s="983"/>
      <c r="H36" s="1024"/>
      <c r="I36" s="1024"/>
      <c r="J36" s="1024"/>
      <c r="K36" s="1024"/>
      <c r="L36" s="1024"/>
      <c r="M36" s="1024"/>
      <c r="N36" s="1024"/>
      <c r="O36" s="1024"/>
      <c r="P36" s="1024"/>
      <c r="Q36" s="1024"/>
      <c r="R36" s="1024"/>
      <c r="S36" s="1024"/>
      <c r="T36" s="1024"/>
      <c r="U36" s="1024"/>
      <c r="V36" s="1024"/>
      <c r="W36" s="1024"/>
    </row>
    <row r="37" spans="1:23" s="1136" customFormat="1" ht="23.25">
      <c r="A37" s="1019"/>
      <c r="B37" s="1005"/>
      <c r="C37" s="1019"/>
      <c r="D37" s="1006"/>
      <c r="E37" s="1006"/>
      <c r="F37" s="1007"/>
      <c r="G37" s="983"/>
    </row>
    <row r="38" spans="1:23" ht="23.25">
      <c r="A38" s="1122" t="s">
        <v>1636</v>
      </c>
      <c r="B38" s="988" t="s">
        <v>1288</v>
      </c>
      <c r="C38" s="1121"/>
      <c r="D38" s="1008"/>
      <c r="E38" s="1008"/>
      <c r="F38" s="1008"/>
      <c r="G38" s="983"/>
    </row>
    <row r="39" spans="1:23" ht="23.25">
      <c r="A39" s="1025"/>
      <c r="B39" s="983"/>
      <c r="C39" s="1121"/>
      <c r="D39" s="1008"/>
      <c r="E39" s="1008"/>
      <c r="F39" s="1008"/>
      <c r="G39" s="983"/>
    </row>
    <row r="40" spans="1:23" ht="23.25">
      <c r="A40" s="1286">
        <v>1</v>
      </c>
      <c r="B40" s="988" t="s">
        <v>1285</v>
      </c>
      <c r="C40" s="1121"/>
      <c r="D40" s="1008"/>
      <c r="E40" s="1008"/>
      <c r="F40" s="1008"/>
      <c r="G40" s="983"/>
    </row>
    <row r="41" spans="1:23" ht="23.25">
      <c r="A41" s="1287"/>
      <c r="B41" s="983" t="s">
        <v>1289</v>
      </c>
      <c r="C41" s="1121">
        <f>Notes!A486</f>
        <v>19</v>
      </c>
      <c r="D41" s="1009">
        <f>Notes!D497</f>
        <v>0</v>
      </c>
      <c r="E41" s="1008">
        <v>0</v>
      </c>
      <c r="F41" s="1008">
        <f>SUM(D41:E41)</f>
        <v>0</v>
      </c>
      <c r="G41" s="983"/>
    </row>
    <row r="42" spans="1:23" ht="23.25">
      <c r="A42" s="1287"/>
      <c r="B42" s="983" t="s">
        <v>1360</v>
      </c>
      <c r="C42" s="1121">
        <f>Notes!A517</f>
        <v>20</v>
      </c>
      <c r="D42" s="1008">
        <f>+'Changes in Equity'!Q15</f>
        <v>0</v>
      </c>
      <c r="E42" s="1008">
        <f>SUM('Changes in Equity'!Q16:Q20)</f>
        <v>0</v>
      </c>
      <c r="F42" s="1008">
        <f>SUM(D42:E42)</f>
        <v>0</v>
      </c>
      <c r="G42" s="1003"/>
    </row>
    <row r="43" spans="1:23" ht="23.25">
      <c r="A43" s="1288"/>
      <c r="B43" s="983"/>
      <c r="C43" s="1121"/>
      <c r="D43" s="1008"/>
      <c r="E43" s="1008"/>
      <c r="F43" s="1008"/>
      <c r="G43" s="983"/>
    </row>
    <row r="44" spans="1:23" ht="23.25">
      <c r="A44" s="1025"/>
      <c r="B44" s="983"/>
      <c r="C44" s="1121"/>
      <c r="D44" s="1010">
        <f>SUM(D41:D43)</f>
        <v>0</v>
      </c>
      <c r="E44" s="1010">
        <f>SUM(E41:E43)</f>
        <v>0</v>
      </c>
      <c r="F44" s="1010">
        <f>SUM(F41:F43)</f>
        <v>0</v>
      </c>
      <c r="G44" s="983"/>
    </row>
    <row r="45" spans="1:23" ht="23.25">
      <c r="A45" s="1025"/>
      <c r="B45" s="983"/>
      <c r="C45" s="1121"/>
      <c r="D45" s="1008"/>
      <c r="E45" s="1008"/>
      <c r="F45" s="1008"/>
      <c r="G45" s="983"/>
    </row>
    <row r="46" spans="1:23" ht="23.25">
      <c r="A46" s="1552">
        <f>+A40+1</f>
        <v>2</v>
      </c>
      <c r="B46" s="988" t="s">
        <v>1291</v>
      </c>
      <c r="C46" s="1121"/>
      <c r="D46" s="1008"/>
      <c r="E46" s="1008"/>
      <c r="F46" s="1008"/>
      <c r="G46" s="983"/>
    </row>
    <row r="47" spans="1:23" ht="23.25">
      <c r="A47" s="1553"/>
      <c r="B47" s="983" t="s">
        <v>1387</v>
      </c>
      <c r="C47" s="1121"/>
      <c r="D47" s="1008"/>
      <c r="E47" s="1008"/>
      <c r="F47" s="1008"/>
      <c r="G47" s="983"/>
    </row>
    <row r="48" spans="1:23" ht="23.25">
      <c r="A48" s="1553"/>
      <c r="B48" s="983" t="s">
        <v>1292</v>
      </c>
      <c r="C48" s="1360"/>
      <c r="D48" s="1008"/>
      <c r="E48" s="1008"/>
      <c r="F48" s="1008"/>
      <c r="G48" s="983"/>
    </row>
    <row r="49" spans="1:7" s="1136" customFormat="1" ht="23.25">
      <c r="A49" s="1553"/>
      <c r="B49" s="983" t="s">
        <v>1361</v>
      </c>
      <c r="C49" s="1171">
        <f>Notes!A545</f>
        <v>21</v>
      </c>
      <c r="D49" s="1008">
        <f>Notes!C565</f>
        <v>0</v>
      </c>
      <c r="E49" s="1008">
        <f>Notes!D565</f>
        <v>0</v>
      </c>
      <c r="F49" s="1008">
        <f t="shared" ref="F49:F53" si="5">SUM(D49:E49)</f>
        <v>0</v>
      </c>
      <c r="G49" s="983"/>
    </row>
    <row r="50" spans="1:7" ht="23.25">
      <c r="A50" s="1553"/>
      <c r="B50" s="983" t="s">
        <v>1294</v>
      </c>
      <c r="C50" s="1121">
        <f>Notes!$A$567</f>
        <v>22</v>
      </c>
      <c r="D50" s="1008">
        <f>Notes!C585</f>
        <v>0</v>
      </c>
      <c r="E50" s="1008">
        <f>Notes!D585</f>
        <v>0</v>
      </c>
      <c r="F50" s="1008">
        <f t="shared" si="5"/>
        <v>0</v>
      </c>
    </row>
    <row r="51" spans="1:7" ht="23.25">
      <c r="A51" s="1553"/>
      <c r="B51" s="983" t="s">
        <v>1386</v>
      </c>
      <c r="C51" s="1121">
        <f>Notes!A589</f>
        <v>23</v>
      </c>
      <c r="D51" s="1008">
        <f>+Notes!C599</f>
        <v>0</v>
      </c>
      <c r="E51" s="1008">
        <f>+Notes!D599</f>
        <v>0</v>
      </c>
      <c r="F51" s="1008">
        <f t="shared" si="5"/>
        <v>0</v>
      </c>
      <c r="G51" s="983"/>
    </row>
    <row r="52" spans="1:7" ht="23.25">
      <c r="A52" s="1553"/>
      <c r="B52" s="983" t="s">
        <v>1388</v>
      </c>
      <c r="C52" s="1121"/>
      <c r="D52" s="1008"/>
      <c r="E52" s="1009"/>
      <c r="F52" s="1008"/>
      <c r="G52" s="983"/>
    </row>
    <row r="53" spans="1:7" ht="23.25">
      <c r="A53" s="1554"/>
      <c r="B53" s="983" t="s">
        <v>1389</v>
      </c>
      <c r="C53" s="1121">
        <f>Notes!A601</f>
        <v>24</v>
      </c>
      <c r="D53" s="1009">
        <f>+Notes!C629</f>
        <v>0</v>
      </c>
      <c r="E53" s="1009">
        <f>+Notes!D629</f>
        <v>0</v>
      </c>
      <c r="F53" s="1008">
        <f t="shared" si="5"/>
        <v>0</v>
      </c>
      <c r="G53" s="1310"/>
    </row>
    <row r="54" spans="1:7" ht="23.25">
      <c r="A54" s="1025"/>
      <c r="B54" s="983"/>
      <c r="C54" s="1121"/>
      <c r="D54" s="1011">
        <f>SUM(D47:D53)</f>
        <v>0</v>
      </c>
      <c r="E54" s="1011">
        <f t="shared" ref="E54:F54" si="6">SUM(E47:E53)</f>
        <v>0</v>
      </c>
      <c r="F54" s="1011">
        <f t="shared" si="6"/>
        <v>0</v>
      </c>
      <c r="G54" s="983"/>
    </row>
    <row r="55" spans="1:7" ht="23.25">
      <c r="A55" s="1025"/>
      <c r="B55" s="983"/>
      <c r="C55" s="1121"/>
      <c r="D55" s="1011"/>
      <c r="E55" s="1011"/>
      <c r="F55" s="1011"/>
      <c r="G55" s="983"/>
    </row>
    <row r="56" spans="1:7" ht="23.25">
      <c r="A56" s="1552">
        <v>4</v>
      </c>
      <c r="B56" s="988" t="s">
        <v>1293</v>
      </c>
      <c r="C56" s="1121"/>
      <c r="D56" s="1008"/>
      <c r="E56" s="1009"/>
      <c r="F56" s="1008"/>
      <c r="G56" s="983"/>
    </row>
    <row r="57" spans="1:7" ht="23.25">
      <c r="A57" s="1553"/>
      <c r="B57" s="983" t="s">
        <v>1387</v>
      </c>
      <c r="C57" s="1121"/>
      <c r="D57" s="1008"/>
      <c r="E57" s="1009"/>
      <c r="F57" s="1008"/>
      <c r="G57" s="983"/>
    </row>
    <row r="58" spans="1:7" ht="23.25">
      <c r="A58" s="1553"/>
      <c r="B58" s="983" t="s">
        <v>1390</v>
      </c>
      <c r="C58" s="1121">
        <f>Notes!A633</f>
        <v>25</v>
      </c>
      <c r="D58" s="1009">
        <f>+Notes!C645</f>
        <v>0</v>
      </c>
      <c r="E58" s="1009">
        <f>+Notes!D645</f>
        <v>0</v>
      </c>
      <c r="F58" s="1008">
        <f t="shared" ref="F58:F62" si="7">SUM(D58:E58)</f>
        <v>0</v>
      </c>
      <c r="G58" s="983"/>
    </row>
    <row r="59" spans="1:7" ht="23.25">
      <c r="A59" s="1553"/>
      <c r="B59" s="983" t="s">
        <v>1361</v>
      </c>
      <c r="C59" s="1121">
        <f>Notes!A647</f>
        <v>26</v>
      </c>
      <c r="D59" s="1009">
        <f ca="1">+Notes!C666</f>
        <v>0</v>
      </c>
      <c r="E59" s="1009">
        <f>+Notes!D666</f>
        <v>0</v>
      </c>
      <c r="F59" s="1008">
        <f t="shared" ca="1" si="7"/>
        <v>0</v>
      </c>
      <c r="G59" s="983"/>
    </row>
    <row r="60" spans="1:7" ht="23.25">
      <c r="A60" s="1553"/>
      <c r="B60" s="983" t="s">
        <v>1294</v>
      </c>
      <c r="C60" s="1264">
        <f>Notes!A669</f>
        <v>27</v>
      </c>
      <c r="D60" s="1008">
        <f>Notes!C678</f>
        <v>0</v>
      </c>
      <c r="E60" s="1008">
        <f>Notes!D678</f>
        <v>0</v>
      </c>
      <c r="F60" s="1008">
        <f t="shared" si="7"/>
        <v>0</v>
      </c>
      <c r="G60" s="983"/>
    </row>
    <row r="61" spans="1:7" ht="23.25">
      <c r="A61" s="1553"/>
      <c r="B61" s="983" t="s">
        <v>1391</v>
      </c>
      <c r="C61" s="1264">
        <f>Notes!A682</f>
        <v>28</v>
      </c>
      <c r="D61" s="1009">
        <f>+Notes!C724</f>
        <v>0</v>
      </c>
      <c r="E61" s="1009">
        <f>+Notes!D724</f>
        <v>0</v>
      </c>
      <c r="F61" s="1008">
        <f t="shared" si="7"/>
        <v>0</v>
      </c>
      <c r="G61" s="1310"/>
    </row>
    <row r="62" spans="1:7" ht="23.25">
      <c r="A62" s="1553"/>
      <c r="B62" s="983" t="s">
        <v>1392</v>
      </c>
      <c r="C62" s="1121">
        <f>Notes!A728</f>
        <v>29</v>
      </c>
      <c r="D62" s="1008">
        <f>+Notes!C745</f>
        <v>0</v>
      </c>
      <c r="E62" s="1008">
        <f>+Notes!D745</f>
        <v>0</v>
      </c>
      <c r="F62" s="1008">
        <f t="shared" si="7"/>
        <v>0</v>
      </c>
      <c r="G62" s="983"/>
    </row>
    <row r="63" spans="1:7" ht="23.25">
      <c r="A63" s="1554"/>
      <c r="B63" s="983" t="s">
        <v>1393</v>
      </c>
      <c r="C63" s="1007"/>
      <c r="D63" s="1008"/>
      <c r="E63" s="1009"/>
      <c r="F63" s="1008"/>
      <c r="G63" s="983"/>
    </row>
    <row r="64" spans="1:7" ht="23.25">
      <c r="A64" s="1025"/>
      <c r="B64" s="1128"/>
      <c r="C64" s="1121"/>
      <c r="D64" s="1011">
        <f ca="1">SUM(D57:D63)</f>
        <v>0</v>
      </c>
      <c r="E64" s="1011">
        <f t="shared" ref="E64" si="8">SUM(E57:E63)</f>
        <v>0</v>
      </c>
      <c r="F64" s="1011">
        <f ca="1">SUM(F57:F63)</f>
        <v>0</v>
      </c>
      <c r="G64" s="983"/>
    </row>
    <row r="65" spans="1:11" ht="23.25">
      <c r="A65" s="1025"/>
      <c r="B65" s="983"/>
      <c r="C65" s="1121"/>
      <c r="D65" s="1011"/>
      <c r="E65" s="1009"/>
      <c r="F65" s="1010"/>
      <c r="G65" s="983"/>
    </row>
    <row r="66" spans="1:11" ht="23.25">
      <c r="A66" s="1026"/>
      <c r="B66" s="1012" t="s">
        <v>806</v>
      </c>
      <c r="C66" s="1121"/>
      <c r="D66" s="1011">
        <f ca="1">+D64+D54+D44</f>
        <v>0</v>
      </c>
      <c r="E66" s="1011">
        <f>+E64+E54+E44</f>
        <v>0</v>
      </c>
      <c r="F66" s="1011">
        <f ca="1">+F64+F54+F44</f>
        <v>0</v>
      </c>
      <c r="G66" s="983"/>
      <c r="I66" s="1014"/>
      <c r="J66" s="1014"/>
      <c r="K66" s="1014"/>
    </row>
    <row r="67" spans="1:11">
      <c r="A67" s="1024"/>
      <c r="C67" s="1024"/>
      <c r="D67" s="1024"/>
      <c r="E67" s="1024"/>
      <c r="F67" s="1024"/>
    </row>
    <row r="68" spans="1:11">
      <c r="B68" s="1219"/>
    </row>
  </sheetData>
  <mergeCells count="4">
    <mergeCell ref="A23:A33"/>
    <mergeCell ref="A46:A53"/>
    <mergeCell ref="A56:A63"/>
    <mergeCell ref="A7:A21"/>
  </mergeCells>
  <printOptions horizontalCentered="1"/>
  <pageMargins left="0.511811023622047" right="0.511811023622047" top="0.55118110236220497" bottom="0.35433070866141703" header="0.118110236220472" footer="0.118110236220472"/>
  <pageSetup paperSize="9" scale="43" fitToHeight="2" orientation="landscape" r:id="rId1"/>
  <rowBreaks count="1" manualBreakCount="1">
    <brk id="37" max="7"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8"/>
  <sheetViews>
    <sheetView showGridLines="0" view="pageBreakPreview" topLeftCell="A46" zoomScale="89" zoomScaleNormal="100" zoomScaleSheetLayoutView="89" workbookViewId="0">
      <selection activeCell="F6" sqref="F6"/>
    </sheetView>
  </sheetViews>
  <sheetFormatPr defaultRowHeight="12.75"/>
  <cols>
    <col min="1" max="1" width="3.85546875" style="881" customWidth="1"/>
    <col min="2" max="2" width="37.5703125" customWidth="1"/>
    <col min="3" max="3" width="14.140625" customWidth="1"/>
    <col min="4" max="4" width="16.140625" customWidth="1"/>
    <col min="5" max="5" width="14.7109375" customWidth="1"/>
    <col min="6" max="6" width="41.85546875" customWidth="1"/>
  </cols>
  <sheetData>
    <row r="1" spans="1:8" ht="16.5">
      <c r="B1" s="1315" t="s">
        <v>1466</v>
      </c>
      <c r="C1" s="1252"/>
      <c r="D1" s="1252"/>
      <c r="E1" s="1252"/>
      <c r="F1" s="1252"/>
      <c r="G1" s="1252"/>
      <c r="H1" s="1252"/>
    </row>
    <row r="2" spans="1:8" ht="15.75" customHeight="1">
      <c r="B2" s="985" t="s">
        <v>1462</v>
      </c>
    </row>
    <row r="3" spans="1:8" ht="15.75">
      <c r="B3" s="1041"/>
      <c r="C3" s="1041"/>
      <c r="D3" s="1041"/>
      <c r="E3" s="1041"/>
      <c r="F3" s="1041"/>
      <c r="G3" s="1041"/>
      <c r="H3" s="1041"/>
    </row>
    <row r="4" spans="1:8" ht="20.25" customHeight="1">
      <c r="A4" s="881">
        <v>1</v>
      </c>
      <c r="B4" s="1028" t="s">
        <v>1439</v>
      </c>
      <c r="C4" s="1201"/>
      <c r="D4" s="1040"/>
      <c r="E4" s="1040"/>
      <c r="F4" s="1105" t="s">
        <v>1471</v>
      </c>
    </row>
    <row r="5" spans="1:8" ht="15.75">
      <c r="B5" s="1221"/>
      <c r="C5" s="1226"/>
      <c r="D5" s="1226"/>
      <c r="E5" s="1226"/>
      <c r="F5" s="1226"/>
    </row>
    <row r="6" spans="1:8" ht="31.5">
      <c r="B6" s="1411" t="s">
        <v>77</v>
      </c>
      <c r="C6" s="1408" t="s">
        <v>1434</v>
      </c>
      <c r="D6" s="1408" t="s">
        <v>1630</v>
      </c>
      <c r="E6" s="1409" t="s">
        <v>1412</v>
      </c>
      <c r="F6" s="1410" t="s">
        <v>1655</v>
      </c>
    </row>
    <row r="7" spans="1:8" ht="15.75">
      <c r="B7" s="1118"/>
      <c r="C7" s="1203"/>
      <c r="D7" s="1080"/>
      <c r="E7" s="1312"/>
      <c r="F7" s="1052"/>
    </row>
    <row r="8" spans="1:8" ht="15.75">
      <c r="B8" s="1118" t="s">
        <v>1418</v>
      </c>
      <c r="C8" s="1311"/>
      <c r="D8" s="1080"/>
      <c r="E8" s="1312"/>
      <c r="F8" s="1052"/>
    </row>
    <row r="9" spans="1:8" ht="31.5">
      <c r="B9" s="1224" t="s">
        <v>1416</v>
      </c>
      <c r="C9" s="1402"/>
      <c r="D9" s="1403"/>
      <c r="E9" s="1404"/>
      <c r="F9" s="1404"/>
    </row>
    <row r="10" spans="1:8" ht="15.75">
      <c r="B10" s="1118"/>
      <c r="C10" s="1402"/>
      <c r="D10" s="1403"/>
      <c r="E10" s="1404"/>
      <c r="F10" s="1404"/>
    </row>
    <row r="11" spans="1:8" ht="15.75">
      <c r="B11" s="1118" t="s">
        <v>910</v>
      </c>
      <c r="C11" s="1402">
        <v>0</v>
      </c>
      <c r="D11" s="1403"/>
      <c r="E11" s="1404"/>
      <c r="F11" s="1404"/>
    </row>
    <row r="12" spans="1:8" ht="15.75">
      <c r="B12" s="1225" t="s">
        <v>1415</v>
      </c>
      <c r="C12" s="1405">
        <v>0</v>
      </c>
      <c r="D12" s="1403">
        <f>C11-C12</f>
        <v>0</v>
      </c>
      <c r="E12" s="1404">
        <v>0</v>
      </c>
      <c r="F12" s="1404">
        <f>D12+E12</f>
        <v>0</v>
      </c>
    </row>
    <row r="13" spans="1:8" ht="15.75">
      <c r="B13" s="1225"/>
      <c r="C13" s="1402"/>
      <c r="D13" s="1403"/>
      <c r="E13" s="1404"/>
      <c r="F13" s="1404"/>
    </row>
    <row r="14" spans="1:8" ht="15.75">
      <c r="B14" s="1118" t="s">
        <v>1489</v>
      </c>
      <c r="C14" s="1402">
        <v>0</v>
      </c>
      <c r="D14" s="1403"/>
      <c r="E14" s="1404"/>
      <c r="F14" s="1404"/>
    </row>
    <row r="15" spans="1:8" ht="15.75">
      <c r="B15" s="1225" t="s">
        <v>1415</v>
      </c>
      <c r="C15" s="1405">
        <v>0</v>
      </c>
      <c r="D15" s="1403">
        <f>C14-C15</f>
        <v>0</v>
      </c>
      <c r="E15" s="1404">
        <v>0</v>
      </c>
      <c r="F15" s="1404">
        <f>D15+E15</f>
        <v>0</v>
      </c>
    </row>
    <row r="16" spans="1:8" ht="15.75">
      <c r="B16" s="1224"/>
      <c r="C16" s="1402"/>
      <c r="D16" s="1403"/>
      <c r="E16" s="1404"/>
      <c r="F16" s="1404"/>
    </row>
    <row r="17" spans="2:6" ht="15.75">
      <c r="B17" s="1118"/>
      <c r="C17" s="1402"/>
      <c r="D17" s="1403"/>
      <c r="E17" s="1404"/>
      <c r="F17" s="1404"/>
    </row>
    <row r="18" spans="2:6" ht="15.75">
      <c r="B18" s="1118" t="s">
        <v>1491</v>
      </c>
      <c r="C18" s="1402">
        <v>0</v>
      </c>
      <c r="D18" s="1403"/>
      <c r="E18" s="1404"/>
      <c r="F18" s="1404"/>
    </row>
    <row r="19" spans="2:6" ht="15.75">
      <c r="B19" s="1225" t="s">
        <v>1415</v>
      </c>
      <c r="C19" s="1405">
        <v>0</v>
      </c>
      <c r="D19" s="1403">
        <f>C18+C19</f>
        <v>0</v>
      </c>
      <c r="E19" s="1404">
        <v>0</v>
      </c>
      <c r="F19" s="1404">
        <f>D19+E19</f>
        <v>0</v>
      </c>
    </row>
    <row r="20" spans="2:6" ht="15.75">
      <c r="B20" s="1117"/>
      <c r="C20" s="1402" t="s">
        <v>1417</v>
      </c>
      <c r="D20" s="1403"/>
      <c r="E20" s="1404"/>
      <c r="F20" s="1404"/>
    </row>
    <row r="21" spans="2:6" ht="15.75">
      <c r="B21" s="1117"/>
      <c r="C21" s="1402"/>
      <c r="D21" s="1403"/>
      <c r="E21" s="1404"/>
      <c r="F21" s="1404"/>
    </row>
    <row r="22" spans="2:6" ht="15.75">
      <c r="B22" s="1118" t="s">
        <v>1492</v>
      </c>
      <c r="C22" s="1402">
        <v>0</v>
      </c>
      <c r="D22" s="1403"/>
      <c r="E22" s="1404"/>
      <c r="F22" s="1404"/>
    </row>
    <row r="23" spans="2:6" ht="15.75">
      <c r="B23" s="1225" t="s">
        <v>1415</v>
      </c>
      <c r="C23" s="1405">
        <v>0</v>
      </c>
      <c r="D23" s="1403">
        <f>C22+C23</f>
        <v>0</v>
      </c>
      <c r="E23" s="1404">
        <v>0</v>
      </c>
      <c r="F23" s="1404">
        <f>D23+E23</f>
        <v>0</v>
      </c>
    </row>
    <row r="24" spans="2:6" ht="15.75">
      <c r="B24" s="1118"/>
      <c r="C24" s="1402"/>
      <c r="D24" s="1403"/>
      <c r="E24" s="1404"/>
      <c r="F24" s="1404"/>
    </row>
    <row r="25" spans="2:6" ht="15.75">
      <c r="B25" s="1118" t="s">
        <v>1493</v>
      </c>
      <c r="C25" s="1402">
        <v>0</v>
      </c>
      <c r="D25" s="1403"/>
      <c r="E25" s="1404"/>
      <c r="F25" s="1404"/>
    </row>
    <row r="26" spans="2:6" ht="15.75">
      <c r="B26" s="1225" t="s">
        <v>1415</v>
      </c>
      <c r="C26" s="1405">
        <v>0</v>
      </c>
      <c r="D26" s="1403">
        <f>C25+C26</f>
        <v>0</v>
      </c>
      <c r="E26" s="1404">
        <v>0</v>
      </c>
      <c r="F26" s="1404">
        <f>D26+E26</f>
        <v>0</v>
      </c>
    </row>
    <row r="27" spans="2:6" ht="15.75">
      <c r="B27" s="1225"/>
      <c r="C27" s="1402"/>
      <c r="D27" s="1403"/>
      <c r="E27" s="1404"/>
      <c r="F27" s="1404"/>
    </row>
    <row r="28" spans="2:6" ht="15.75">
      <c r="B28" s="1118" t="s">
        <v>916</v>
      </c>
      <c r="C28" s="1402">
        <v>0</v>
      </c>
      <c r="D28" s="1403"/>
      <c r="E28" s="1404"/>
      <c r="F28" s="1404"/>
    </row>
    <row r="29" spans="2:6" ht="15.75">
      <c r="B29" s="1225" t="s">
        <v>1415</v>
      </c>
      <c r="C29" s="1405">
        <v>0</v>
      </c>
      <c r="D29" s="1403">
        <f>C28+C29</f>
        <v>0</v>
      </c>
      <c r="E29" s="1403">
        <v>0</v>
      </c>
      <c r="F29" s="1404">
        <f>D29+E29</f>
        <v>0</v>
      </c>
    </row>
    <row r="30" spans="2:6" ht="15.75">
      <c r="B30" s="1225"/>
      <c r="C30" s="1402"/>
      <c r="D30" s="1403"/>
      <c r="E30" s="1404"/>
      <c r="F30" s="1404"/>
    </row>
    <row r="31" spans="2:6" ht="31.5">
      <c r="B31" s="1324" t="s">
        <v>1494</v>
      </c>
      <c r="C31" s="1402">
        <v>0</v>
      </c>
      <c r="D31" s="1403"/>
      <c r="E31" s="1404"/>
      <c r="F31" s="1404"/>
    </row>
    <row r="32" spans="2:6" ht="15.75">
      <c r="B32" s="1225" t="s">
        <v>1415</v>
      </c>
      <c r="C32" s="1405">
        <v>0</v>
      </c>
      <c r="D32" s="1403">
        <f>C31+C32</f>
        <v>0</v>
      </c>
      <c r="E32" s="1404">
        <v>0</v>
      </c>
      <c r="F32" s="1404">
        <f>D32+E32</f>
        <v>0</v>
      </c>
    </row>
    <row r="33" spans="2:6" ht="15.75">
      <c r="B33" s="1225"/>
      <c r="C33" s="1402"/>
      <c r="D33" s="1403"/>
      <c r="E33" s="1404"/>
      <c r="F33" s="1404"/>
    </row>
    <row r="34" spans="2:6" ht="15.75">
      <c r="B34" s="1117" t="s">
        <v>1495</v>
      </c>
      <c r="C34" s="1402">
        <v>0</v>
      </c>
      <c r="D34" s="1403"/>
      <c r="E34" s="1404"/>
      <c r="F34" s="1404"/>
    </row>
    <row r="35" spans="2:6" ht="15.75">
      <c r="B35" s="1225" t="s">
        <v>1415</v>
      </c>
      <c r="C35" s="1405">
        <v>0</v>
      </c>
      <c r="D35" s="1403">
        <f>C34+C35</f>
        <v>0</v>
      </c>
      <c r="E35" s="1404">
        <v>0</v>
      </c>
      <c r="F35" s="1404">
        <f>D35+E35</f>
        <v>0</v>
      </c>
    </row>
    <row r="36" spans="2:6" ht="15.75">
      <c r="B36" s="1118"/>
      <c r="C36" s="1402"/>
      <c r="D36" s="1403"/>
      <c r="E36" s="1404"/>
      <c r="F36" s="1404"/>
    </row>
    <row r="37" spans="2:6" ht="15.75">
      <c r="B37" s="1118" t="s">
        <v>1496</v>
      </c>
      <c r="C37" s="1402">
        <v>0</v>
      </c>
      <c r="D37" s="1403"/>
      <c r="E37" s="1404"/>
      <c r="F37" s="1404"/>
    </row>
    <row r="38" spans="2:6" ht="15.75">
      <c r="B38" s="1225" t="s">
        <v>1415</v>
      </c>
      <c r="C38" s="1405">
        <v>0</v>
      </c>
      <c r="D38" s="1403">
        <f>C37+C38</f>
        <v>0</v>
      </c>
      <c r="E38" s="1404">
        <v>0</v>
      </c>
      <c r="F38" s="1404">
        <f>D38+E38</f>
        <v>0</v>
      </c>
    </row>
    <row r="39" spans="2:6" ht="15.75">
      <c r="B39" s="1118"/>
      <c r="C39" s="1402"/>
      <c r="D39" s="1403"/>
      <c r="E39" s="1404"/>
      <c r="F39" s="1404"/>
    </row>
    <row r="40" spans="2:6" ht="15.75">
      <c r="B40" s="1118" t="s">
        <v>911</v>
      </c>
      <c r="C40" s="1402">
        <v>0</v>
      </c>
      <c r="D40" s="1403"/>
      <c r="E40" s="1404"/>
      <c r="F40" s="1404"/>
    </row>
    <row r="41" spans="2:6" ht="15.75">
      <c r="B41" s="1225" t="s">
        <v>1415</v>
      </c>
      <c r="C41" s="1405">
        <v>0</v>
      </c>
      <c r="D41" s="1403">
        <f>C40+C41</f>
        <v>0</v>
      </c>
      <c r="E41" s="1404">
        <v>0</v>
      </c>
      <c r="F41" s="1404">
        <f>D41+E41</f>
        <v>0</v>
      </c>
    </row>
    <row r="42" spans="2:6" ht="15.75">
      <c r="B42" s="1225"/>
      <c r="C42" s="1402"/>
      <c r="D42" s="1403"/>
      <c r="E42" s="1404"/>
      <c r="F42" s="1404"/>
    </row>
    <row r="43" spans="2:6" ht="15.75">
      <c r="B43" s="1118" t="s">
        <v>1490</v>
      </c>
      <c r="C43" s="1402">
        <v>0</v>
      </c>
      <c r="D43" s="1403"/>
      <c r="E43" s="1404"/>
      <c r="F43" s="1404"/>
    </row>
    <row r="44" spans="2:6" ht="15.75">
      <c r="B44" s="1225" t="s">
        <v>1415</v>
      </c>
      <c r="C44" s="1405">
        <v>0</v>
      </c>
      <c r="D44" s="1403">
        <f>C43+C44</f>
        <v>0</v>
      </c>
      <c r="E44" s="1404">
        <v>0</v>
      </c>
      <c r="F44" s="1404">
        <f>D44+E44</f>
        <v>0</v>
      </c>
    </row>
    <row r="45" spans="2:6" ht="15.75">
      <c r="B45" s="1225"/>
      <c r="C45" s="1402"/>
      <c r="D45" s="1403"/>
      <c r="E45" s="1404"/>
      <c r="F45" s="1404"/>
    </row>
    <row r="46" spans="2:6" ht="15.75">
      <c r="B46" s="1118" t="s">
        <v>1500</v>
      </c>
      <c r="C46" s="1406">
        <v>0</v>
      </c>
      <c r="D46" s="1403"/>
      <c r="E46" s="1404"/>
      <c r="F46" s="1404"/>
    </row>
    <row r="47" spans="2:6" ht="15.75">
      <c r="B47" s="1225" t="s">
        <v>1415</v>
      </c>
      <c r="C47" s="1405">
        <v>0</v>
      </c>
      <c r="D47" s="1403">
        <f>C46+C47</f>
        <v>0</v>
      </c>
      <c r="E47" s="1404">
        <v>0</v>
      </c>
      <c r="F47" s="1404">
        <f>D47+E47</f>
        <v>0</v>
      </c>
    </row>
    <row r="48" spans="2:6" ht="15.75">
      <c r="B48" s="1225"/>
      <c r="C48" s="1402"/>
      <c r="D48" s="1403"/>
      <c r="E48" s="1404"/>
      <c r="F48" s="1404"/>
    </row>
    <row r="49" spans="1:6" ht="15.75">
      <c r="B49" s="1119"/>
      <c r="C49" s="1402"/>
      <c r="D49" s="1403"/>
      <c r="E49" s="1404"/>
      <c r="F49" s="1407"/>
    </row>
    <row r="50" spans="1:6" ht="15.75">
      <c r="B50" s="1559" t="s">
        <v>806</v>
      </c>
      <c r="C50" s="1560"/>
      <c r="D50" s="1314">
        <f>SUM(D12:D48)</f>
        <v>0</v>
      </c>
      <c r="E50" s="1202">
        <f>SUM(E12:E48)</f>
        <v>0</v>
      </c>
      <c r="F50" s="1202">
        <f>D50+E50</f>
        <v>0</v>
      </c>
    </row>
    <row r="51" spans="1:6" ht="15.75">
      <c r="B51" s="1076"/>
      <c r="C51" s="1053"/>
      <c r="D51" s="1053"/>
      <c r="E51" s="1053"/>
      <c r="F51" s="1053"/>
    </row>
    <row r="52" spans="1:6" ht="15.75">
      <c r="B52" s="985" t="s">
        <v>1631</v>
      </c>
      <c r="C52" s="883"/>
      <c r="D52" s="883"/>
    </row>
    <row r="53" spans="1:6" ht="15.75">
      <c r="B53" s="883"/>
      <c r="D53" s="1290" t="s">
        <v>1472</v>
      </c>
    </row>
    <row r="54" spans="1:6" ht="15.75">
      <c r="B54" s="969" t="s">
        <v>77</v>
      </c>
      <c r="C54" s="1295" t="s">
        <v>814</v>
      </c>
      <c r="D54" s="1291" t="s">
        <v>1440</v>
      </c>
    </row>
    <row r="55" spans="1:6" ht="15.75">
      <c r="B55" s="1296"/>
      <c r="C55" s="1292"/>
      <c r="D55" s="1293"/>
    </row>
    <row r="56" spans="1:6" ht="15.75">
      <c r="B56" s="1293" t="s">
        <v>1473</v>
      </c>
      <c r="C56" s="1294">
        <v>0</v>
      </c>
      <c r="D56" s="1294">
        <v>0</v>
      </c>
    </row>
    <row r="57" spans="1:6" ht="15.75">
      <c r="B57" s="1293" t="s">
        <v>1473</v>
      </c>
      <c r="C57" s="1294">
        <v>0</v>
      </c>
      <c r="D57" s="1294">
        <v>0</v>
      </c>
    </row>
    <row r="58" spans="1:6" ht="15.75">
      <c r="B58" s="974" t="s">
        <v>806</v>
      </c>
      <c r="C58" s="1297">
        <f>SUM(C56:C57)</f>
        <v>0</v>
      </c>
      <c r="D58" s="1298">
        <f>SUM(D56:D57)</f>
        <v>0</v>
      </c>
    </row>
    <row r="59" spans="1:6" ht="15.75">
      <c r="B59" s="1076"/>
      <c r="C59" s="1053"/>
      <c r="D59" s="1053"/>
      <c r="E59" s="1053"/>
      <c r="F59" s="1053"/>
    </row>
    <row r="60" spans="1:6" ht="15.75">
      <c r="A60" s="881">
        <f>A4+1</f>
        <v>2</v>
      </c>
      <c r="B60" s="1076" t="s">
        <v>1445</v>
      </c>
      <c r="C60" s="1053"/>
      <c r="D60" s="1053"/>
      <c r="E60" s="1053"/>
      <c r="F60" s="1053"/>
    </row>
    <row r="61" spans="1:6" ht="15.75">
      <c r="B61" s="1076"/>
      <c r="C61" s="1053"/>
      <c r="D61" s="1053"/>
      <c r="E61" s="1053"/>
      <c r="F61" s="1053"/>
    </row>
    <row r="62" spans="1:6" s="1419" customFormat="1" ht="31.5">
      <c r="A62" s="1417"/>
      <c r="B62" s="1418" t="s">
        <v>77</v>
      </c>
      <c r="C62" s="1408" t="s">
        <v>1434</v>
      </c>
      <c r="D62" s="1408" t="s">
        <v>1630</v>
      </c>
      <c r="E62" s="1409" t="s">
        <v>1412</v>
      </c>
      <c r="F62" s="1410" t="s">
        <v>1655</v>
      </c>
    </row>
    <row r="63" spans="1:6" ht="15.75">
      <c r="B63" s="1118"/>
      <c r="C63" s="1203"/>
      <c r="D63" s="1080"/>
      <c r="E63" s="1147"/>
      <c r="F63" s="1052"/>
    </row>
    <row r="64" spans="1:6" ht="15.75">
      <c r="B64" s="1118" t="s">
        <v>1497</v>
      </c>
      <c r="C64" s="1085"/>
      <c r="D64" s="1080"/>
      <c r="E64" s="1147"/>
      <c r="F64" s="1052"/>
    </row>
    <row r="65" spans="1:6" ht="31.5">
      <c r="B65" s="1224" t="s">
        <v>1416</v>
      </c>
      <c r="C65" s="1085"/>
      <c r="D65" s="1080"/>
      <c r="E65" s="1147"/>
      <c r="F65" s="1052"/>
    </row>
    <row r="66" spans="1:6" ht="15.75">
      <c r="B66" s="1118"/>
      <c r="C66" s="1085"/>
      <c r="D66" s="1080"/>
      <c r="E66" s="1147"/>
      <c r="F66" s="1052"/>
    </row>
    <row r="67" spans="1:6" ht="15.75">
      <c r="B67" s="1118" t="s">
        <v>913</v>
      </c>
      <c r="C67" s="1051">
        <v>0</v>
      </c>
      <c r="D67" s="1080"/>
      <c r="E67" s="1147"/>
      <c r="F67" s="1052"/>
    </row>
    <row r="68" spans="1:6" ht="31.5">
      <c r="B68" s="1224" t="s">
        <v>1416</v>
      </c>
      <c r="C68" s="1066">
        <v>0</v>
      </c>
      <c r="D68" s="1094">
        <f>C67+C68</f>
        <v>0</v>
      </c>
      <c r="E68" s="1052">
        <v>0</v>
      </c>
      <c r="F68" s="1052">
        <f>D68+E68</f>
        <v>0</v>
      </c>
    </row>
    <row r="69" spans="1:6" ht="15.75">
      <c r="B69" s="1224"/>
      <c r="C69" s="1051"/>
      <c r="D69" s="1094"/>
      <c r="E69" s="1147"/>
      <c r="F69" s="1052"/>
    </row>
    <row r="70" spans="1:6" ht="15.75">
      <c r="B70" s="1117" t="s">
        <v>1498</v>
      </c>
      <c r="C70" s="1065">
        <v>0</v>
      </c>
      <c r="D70" s="1094"/>
      <c r="E70" s="1147"/>
      <c r="F70" s="1052"/>
    </row>
    <row r="71" spans="1:6" ht="31.5">
      <c r="B71" s="1224" t="s">
        <v>1416</v>
      </c>
      <c r="C71" s="1066">
        <v>0</v>
      </c>
      <c r="D71" s="1129">
        <f>C70+C71</f>
        <v>0</v>
      </c>
      <c r="E71" s="1052">
        <v>0</v>
      </c>
      <c r="F71" s="1052">
        <f>D71+E71</f>
        <v>0</v>
      </c>
    </row>
    <row r="72" spans="1:6" ht="15.75">
      <c r="B72" s="1117"/>
      <c r="C72" s="1051"/>
      <c r="D72" s="1094"/>
      <c r="E72" s="1147"/>
      <c r="F72" s="1052"/>
    </row>
    <row r="73" spans="1:6" ht="15.75">
      <c r="B73" s="1224"/>
      <c r="C73" s="1051"/>
      <c r="D73" s="1094"/>
      <c r="E73" s="1147"/>
      <c r="F73" s="1052"/>
    </row>
    <row r="74" spans="1:6" ht="15.75">
      <c r="B74" s="1559" t="s">
        <v>806</v>
      </c>
      <c r="C74" s="1560"/>
      <c r="D74" s="1178">
        <f>SUM(D64:D73)</f>
        <v>0</v>
      </c>
      <c r="E74" s="1202">
        <f>SUM(E64:E73)</f>
        <v>0</v>
      </c>
      <c r="F74" s="1202">
        <f>D74+E74</f>
        <v>0</v>
      </c>
    </row>
    <row r="75" spans="1:6" ht="15.75">
      <c r="B75" s="1076"/>
      <c r="C75" s="1076"/>
      <c r="D75" s="1053"/>
      <c r="E75" s="1053"/>
      <c r="F75" s="1053"/>
    </row>
    <row r="76" spans="1:6" ht="15.75">
      <c r="A76" s="881">
        <f>A60+1</f>
        <v>3</v>
      </c>
      <c r="B76" s="1205" t="s">
        <v>1448</v>
      </c>
      <c r="C76" s="1040"/>
      <c r="D76" s="1040"/>
      <c r="E76" s="1201"/>
      <c r="F76" s="1053"/>
    </row>
    <row r="77" spans="1:6" ht="15.75">
      <c r="B77" s="1041"/>
      <c r="D77" s="1040"/>
      <c r="E77" s="1201"/>
      <c r="F77" s="1105" t="s">
        <v>1471</v>
      </c>
    </row>
    <row r="78" spans="1:6" ht="15.75">
      <c r="B78" s="1562" t="s">
        <v>77</v>
      </c>
      <c r="C78" s="1562"/>
      <c r="D78" s="1318">
        <v>42460</v>
      </c>
      <c r="E78" s="1146" t="s">
        <v>1412</v>
      </c>
      <c r="F78" s="1138" t="s">
        <v>1474</v>
      </c>
    </row>
    <row r="79" spans="1:6" ht="15.75">
      <c r="B79" s="1563"/>
      <c r="C79" s="1564"/>
      <c r="D79" s="1151"/>
      <c r="E79" s="1150"/>
      <c r="F79" s="1147"/>
    </row>
    <row r="80" spans="1:6" ht="15.75">
      <c r="B80" s="1557" t="s">
        <v>1473</v>
      </c>
      <c r="C80" s="1558"/>
      <c r="D80" s="1131">
        <v>0</v>
      </c>
      <c r="E80" s="1116">
        <v>0</v>
      </c>
      <c r="F80" s="1129">
        <f>D80+E80</f>
        <v>0</v>
      </c>
    </row>
    <row r="81" spans="2:6" ht="15.75">
      <c r="B81" s="1557"/>
      <c r="C81" s="1558"/>
      <c r="D81" s="1051"/>
      <c r="E81" s="1116"/>
      <c r="F81" s="1147"/>
    </row>
    <row r="82" spans="2:6" ht="15.75">
      <c r="B82" s="1561" t="s">
        <v>806</v>
      </c>
      <c r="C82" s="1561"/>
      <c r="D82" s="1178">
        <f>SUM(D80:D81)</f>
        <v>0</v>
      </c>
      <c r="E82" s="1178">
        <f>SUM(E80:E81)</f>
        <v>0</v>
      </c>
      <c r="F82" s="1178">
        <f>SUM(F80:F81)</f>
        <v>0</v>
      </c>
    </row>
    <row r="83" spans="2:6" ht="15.75">
      <c r="B83" s="1053"/>
      <c r="C83" s="1053"/>
      <c r="D83" s="1053"/>
      <c r="E83" s="1053"/>
      <c r="F83" s="1053"/>
    </row>
    <row r="84" spans="2:6" ht="15.75" customHeight="1">
      <c r="B84" s="1569" t="s">
        <v>1632</v>
      </c>
      <c r="C84" s="1570"/>
      <c r="D84" s="1570"/>
      <c r="E84" s="1570"/>
      <c r="F84" s="1570"/>
    </row>
    <row r="85" spans="2:6" ht="15.75">
      <c r="B85" s="1569" t="s">
        <v>1449</v>
      </c>
      <c r="C85" s="1569"/>
      <c r="D85" s="1569"/>
      <c r="E85" s="1569"/>
      <c r="F85" s="1569"/>
    </row>
    <row r="86" spans="2:6" ht="133.5" customHeight="1">
      <c r="B86" s="1567" t="s">
        <v>1450</v>
      </c>
      <c r="C86" s="1567"/>
      <c r="D86" s="1567"/>
      <c r="E86" s="1567"/>
      <c r="F86" s="1567"/>
    </row>
    <row r="87" spans="2:6" ht="15.75">
      <c r="B87" s="1276"/>
      <c r="C87" s="1276"/>
      <c r="D87" s="1276"/>
      <c r="E87" s="1276"/>
      <c r="F87" s="1053"/>
    </row>
    <row r="88" spans="2:6" ht="15.75">
      <c r="B88" s="1571" t="s">
        <v>1451</v>
      </c>
      <c r="C88" s="1571"/>
      <c r="D88" s="1571"/>
      <c r="E88" s="1571"/>
      <c r="F88" s="1571"/>
    </row>
    <row r="89" spans="2:6" ht="15.75">
      <c r="B89" s="1390" t="s">
        <v>77</v>
      </c>
      <c r="C89" s="1385" t="s">
        <v>1597</v>
      </c>
      <c r="D89" s="1385" t="s">
        <v>1452</v>
      </c>
      <c r="E89" s="1299" t="s">
        <v>1453</v>
      </c>
      <c r="F89" s="1300" t="s">
        <v>1475</v>
      </c>
    </row>
    <row r="90" spans="2:6" ht="15.75">
      <c r="B90" s="1386"/>
      <c r="C90" s="1386"/>
      <c r="D90" s="1301"/>
      <c r="E90" s="1301"/>
      <c r="F90" s="1301"/>
    </row>
    <row r="91" spans="2:6" ht="15.75">
      <c r="B91" s="1387" t="s">
        <v>1473</v>
      </c>
      <c r="C91" s="1387"/>
      <c r="D91" s="1301"/>
      <c r="E91" s="1301"/>
      <c r="F91" s="1301"/>
    </row>
    <row r="92" spans="2:6" ht="15.75">
      <c r="B92" s="1388"/>
      <c r="C92" s="1388"/>
      <c r="D92" s="1301"/>
      <c r="E92" s="1301"/>
      <c r="F92" s="1301"/>
    </row>
    <row r="93" spans="2:6" ht="15.75">
      <c r="B93" s="1389" t="s">
        <v>806</v>
      </c>
      <c r="C93" s="1389"/>
      <c r="D93" s="1301"/>
      <c r="E93" s="1301"/>
      <c r="F93" s="1301"/>
    </row>
    <row r="94" spans="2:6" ht="15.75">
      <c r="B94" s="1302"/>
      <c r="C94" s="1302"/>
      <c r="D94" s="1302"/>
      <c r="E94" s="1302"/>
      <c r="F94" s="1053"/>
    </row>
    <row r="95" spans="2:6" ht="47.25" customHeight="1">
      <c r="B95" s="1568" t="s">
        <v>1635</v>
      </c>
      <c r="C95" s="1568"/>
      <c r="D95" s="1568"/>
      <c r="E95" s="1568"/>
      <c r="F95" s="1568"/>
    </row>
    <row r="96" spans="2:6" ht="47.25">
      <c r="B96" s="1565" t="s">
        <v>1454</v>
      </c>
      <c r="C96" s="1565"/>
      <c r="D96" s="1300" t="s">
        <v>1455</v>
      </c>
      <c r="E96" s="1300" t="s">
        <v>1456</v>
      </c>
      <c r="F96" s="1299" t="s">
        <v>1457</v>
      </c>
    </row>
    <row r="97" spans="1:6" ht="15.75">
      <c r="B97" s="1566"/>
      <c r="C97" s="1566"/>
      <c r="D97" s="1267"/>
      <c r="E97" s="1267"/>
      <c r="F97" s="1267"/>
    </row>
    <row r="98" spans="1:6" ht="15.75">
      <c r="B98" s="1566"/>
      <c r="C98" s="1566"/>
      <c r="D98" s="1267"/>
      <c r="E98" s="1267"/>
      <c r="F98" s="1267"/>
    </row>
    <row r="99" spans="1:6" ht="15.75">
      <c r="B99" s="1566"/>
      <c r="C99" s="1566"/>
      <c r="D99" s="1267"/>
      <c r="E99" s="1267"/>
      <c r="F99" s="1267"/>
    </row>
    <row r="100" spans="1:6" ht="15.75">
      <c r="B100" s="1566"/>
      <c r="C100" s="1566"/>
      <c r="D100" s="1267"/>
      <c r="E100" s="1267"/>
      <c r="F100" s="1267"/>
    </row>
    <row r="101" spans="1:6" ht="15.75">
      <c r="B101" s="1275"/>
      <c r="C101" s="1276"/>
      <c r="D101" s="1276"/>
      <c r="E101" s="1276"/>
      <c r="F101" s="1053"/>
    </row>
    <row r="102" spans="1:6" ht="15.75">
      <c r="B102" s="1556" t="s">
        <v>1458</v>
      </c>
      <c r="C102" s="1556"/>
      <c r="D102" s="1556"/>
      <c r="E102" s="1556"/>
      <c r="F102" s="1556"/>
    </row>
    <row r="103" spans="1:6" ht="15.75" customHeight="1">
      <c r="B103" s="1556" t="s">
        <v>1459</v>
      </c>
      <c r="C103" s="1556"/>
      <c r="D103" s="1556"/>
      <c r="E103" s="1556"/>
      <c r="F103" s="1556"/>
    </row>
    <row r="104" spans="1:6" ht="31.5" customHeight="1">
      <c r="B104" s="1556" t="s">
        <v>1460</v>
      </c>
      <c r="C104" s="1556"/>
      <c r="D104" s="1556"/>
      <c r="E104" s="1556"/>
      <c r="F104" s="1556"/>
    </row>
    <row r="105" spans="1:6" ht="15.75">
      <c r="B105" s="1556"/>
      <c r="C105" s="1556"/>
      <c r="D105" s="1556"/>
      <c r="E105" s="1556"/>
      <c r="F105" s="1556"/>
    </row>
    <row r="106" spans="1:6" ht="31.5" customHeight="1">
      <c r="B106" s="1556" t="s">
        <v>1633</v>
      </c>
      <c r="C106" s="1556"/>
      <c r="D106" s="1556"/>
      <c r="E106" s="1556"/>
      <c r="F106" s="1556"/>
    </row>
    <row r="107" spans="1:6" ht="15.75">
      <c r="B107" s="1556"/>
      <c r="C107" s="1556"/>
      <c r="D107" s="1556"/>
      <c r="E107" s="1556"/>
      <c r="F107" s="1556"/>
    </row>
    <row r="108" spans="1:6" ht="15.75" customHeight="1">
      <c r="B108" s="1556" t="s">
        <v>1461</v>
      </c>
      <c r="C108" s="1556"/>
      <c r="D108" s="1556"/>
      <c r="E108" s="1556"/>
      <c r="F108" s="1556"/>
    </row>
    <row r="109" spans="1:6" ht="15.75">
      <c r="B109" s="1275"/>
      <c r="C109" s="1276"/>
      <c r="D109" s="1276"/>
      <c r="E109" s="1276"/>
      <c r="F109" s="1053"/>
    </row>
    <row r="110" spans="1:6" ht="15.75">
      <c r="B110" s="1076"/>
      <c r="C110" s="1076"/>
      <c r="D110" s="1053"/>
      <c r="E110" s="1053"/>
      <c r="F110" s="1053"/>
    </row>
    <row r="111" spans="1:6" ht="15.75">
      <c r="A111" s="881">
        <f>A76+1</f>
        <v>4</v>
      </c>
      <c r="B111" s="1274" t="s">
        <v>1348</v>
      </c>
      <c r="C111" s="1053"/>
      <c r="D111" s="1053"/>
      <c r="E111" s="1053"/>
      <c r="F111" s="1053"/>
    </row>
    <row r="112" spans="1:6" ht="15.75">
      <c r="B112" s="1076"/>
      <c r="C112" s="1053"/>
      <c r="D112" s="1053"/>
      <c r="E112" s="1053"/>
      <c r="F112" s="1053"/>
    </row>
    <row r="113" spans="1:6" s="1421" customFormat="1" ht="31.5">
      <c r="A113" s="1420"/>
      <c r="B113" s="1411" t="s">
        <v>77</v>
      </c>
      <c r="C113" s="1408" t="s">
        <v>1434</v>
      </c>
      <c r="D113" s="1408" t="s">
        <v>1630</v>
      </c>
      <c r="E113" s="1409" t="s">
        <v>1410</v>
      </c>
      <c r="F113" s="1410" t="s">
        <v>1655</v>
      </c>
    </row>
    <row r="114" spans="1:6" ht="15.75">
      <c r="B114" s="1280"/>
      <c r="C114" s="1150"/>
      <c r="D114" s="1150"/>
      <c r="E114" s="1150"/>
      <c r="F114" s="1150"/>
    </row>
    <row r="115" spans="1:6" ht="15.75">
      <c r="B115" s="1058" t="s">
        <v>1441</v>
      </c>
      <c r="C115" s="1152">
        <v>0</v>
      </c>
      <c r="D115" s="1152"/>
      <c r="E115" s="1152"/>
      <c r="F115" s="1152"/>
    </row>
    <row r="116" spans="1:6" ht="31.5">
      <c r="B116" s="1224" t="s">
        <v>1446</v>
      </c>
      <c r="C116" s="1281">
        <v>0</v>
      </c>
      <c r="D116" s="1152">
        <f>C115+C116</f>
        <v>0</v>
      </c>
      <c r="E116" s="1152">
        <v>0</v>
      </c>
      <c r="F116" s="1152">
        <f>D116+E116</f>
        <v>0</v>
      </c>
    </row>
    <row r="117" spans="1:6" ht="15.75">
      <c r="B117" s="1058"/>
      <c r="C117" s="1281"/>
      <c r="D117" s="1281"/>
      <c r="E117" s="1281"/>
      <c r="F117" s="1281"/>
    </row>
    <row r="118" spans="1:6" ht="15.75">
      <c r="B118" s="1272" t="s">
        <v>806</v>
      </c>
      <c r="C118" s="1273"/>
      <c r="D118" s="1178">
        <f>D116</f>
        <v>0</v>
      </c>
      <c r="E118" s="1202">
        <f>SUM(E114:E116)</f>
        <v>0</v>
      </c>
      <c r="F118" s="1202">
        <f>D118+E118</f>
        <v>0</v>
      </c>
    </row>
    <row r="119" spans="1:6" ht="15.75">
      <c r="B119" s="1278"/>
      <c r="C119" s="1279"/>
      <c r="D119" s="1279"/>
      <c r="E119" s="1279"/>
      <c r="F119" s="1279"/>
    </row>
    <row r="120" spans="1:6" ht="15.75">
      <c r="B120" s="1076"/>
      <c r="C120" s="1053"/>
      <c r="D120" s="1053"/>
      <c r="E120" s="1053"/>
      <c r="F120" s="1053"/>
    </row>
    <row r="123" spans="1:6" ht="40.5" customHeight="1"/>
    <row r="124" spans="1:6" hidden="1"/>
    <row r="125" spans="1:6" ht="12.75" customHeight="1"/>
    <row r="126" spans="1:6" ht="23.25" customHeight="1"/>
    <row r="127" spans="1:6" ht="12.75" customHeight="1"/>
    <row r="128" spans="1:6" ht="45.75" customHeight="1"/>
    <row r="129" ht="15.75" customHeight="1"/>
    <row r="130" ht="31.5" customHeight="1"/>
    <row r="131" ht="49.5" customHeight="1"/>
    <row r="135" ht="15.75" customHeight="1"/>
    <row r="136" ht="15.75" customHeight="1"/>
    <row r="137" ht="15.75" customHeight="1"/>
    <row r="138" ht="15.75" customHeight="1"/>
  </sheetData>
  <mergeCells count="24">
    <mergeCell ref="B50:C50"/>
    <mergeCell ref="B84:F84"/>
    <mergeCell ref="B85:F85"/>
    <mergeCell ref="B88:F88"/>
    <mergeCell ref="B102:F102"/>
    <mergeCell ref="B103:F103"/>
    <mergeCell ref="B81:C81"/>
    <mergeCell ref="B74:C74"/>
    <mergeCell ref="B82:C82"/>
    <mergeCell ref="B78:C78"/>
    <mergeCell ref="B79:C79"/>
    <mergeCell ref="B80:C80"/>
    <mergeCell ref="B96:C96"/>
    <mergeCell ref="B97:C97"/>
    <mergeCell ref="B98:C98"/>
    <mergeCell ref="B99:C99"/>
    <mergeCell ref="B100:C100"/>
    <mergeCell ref="B86:F86"/>
    <mergeCell ref="B95:F95"/>
    <mergeCell ref="B104:F104"/>
    <mergeCell ref="B105:F105"/>
    <mergeCell ref="B106:F106"/>
    <mergeCell ref="B107:F107"/>
    <mergeCell ref="B108:F108"/>
  </mergeCells>
  <printOptions horizontalCentered="1"/>
  <pageMargins left="0.511811023622047" right="0.31496062992126" top="0.55118110236220497" bottom="0.78" header="0.118110236220472" footer="0.118110236220472"/>
  <pageSetup paperSize="9" scale="70" fitToHeight="2" orientation="portrait" verticalDpi="0" r:id="rId1"/>
  <rowBreaks count="2" manualBreakCount="2">
    <brk id="59" max="5" man="1"/>
    <brk id="109" max="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46"/>
  <sheetViews>
    <sheetView showGridLines="0" view="pageBreakPreview" topLeftCell="A55" zoomScaleNormal="100" zoomScaleSheetLayoutView="100" workbookViewId="0">
      <selection activeCell="D39" sqref="D39"/>
    </sheetView>
  </sheetViews>
  <sheetFormatPr defaultRowHeight="15.75"/>
  <cols>
    <col min="1" max="1" width="7.42578125" style="1124" customWidth="1"/>
    <col min="2" max="2" width="66" style="1201" customWidth="1"/>
    <col min="3" max="3" width="21.5703125" style="1040" bestFit="1" customWidth="1"/>
    <col min="4" max="4" width="20.85546875" style="1040" bestFit="1" customWidth="1"/>
    <col min="5" max="5" width="20.85546875" style="1201" bestFit="1" customWidth="1"/>
    <col min="6" max="6" width="18.140625" style="1201" customWidth="1"/>
    <col min="7" max="7" width="9.140625" style="1201"/>
    <col min="8" max="8" width="16.85546875" style="1201" customWidth="1"/>
    <col min="9" max="16384" width="9.140625" style="1201"/>
  </cols>
  <sheetData>
    <row r="1" spans="1:5" s="1313" customFormat="1" ht="16.5">
      <c r="A1" s="1124"/>
      <c r="B1" s="1315" t="s">
        <v>1466</v>
      </c>
      <c r="C1" s="1040"/>
      <c r="D1" s="1040"/>
    </row>
    <row r="2" spans="1:5" s="1275" customFormat="1">
      <c r="A2" s="1124"/>
      <c r="B2" s="1277" t="s">
        <v>1462</v>
      </c>
    </row>
    <row r="3" spans="1:5" s="1275" customFormat="1">
      <c r="A3" s="1124"/>
      <c r="B3" s="1187"/>
    </row>
    <row r="4" spans="1:5" s="1230" customFormat="1">
      <c r="A4" s="1124">
        <f>PPE!A111+1</f>
        <v>5</v>
      </c>
      <c r="B4" s="1041" t="s">
        <v>1465</v>
      </c>
    </row>
    <row r="5" spans="1:5" ht="18" customHeight="1">
      <c r="B5" s="1041"/>
      <c r="D5" s="1201"/>
      <c r="E5" s="1105" t="s">
        <v>1471</v>
      </c>
    </row>
    <row r="6" spans="1:5" s="1306" customFormat="1">
      <c r="A6" s="1124"/>
      <c r="B6" s="1067" t="s">
        <v>77</v>
      </c>
      <c r="C6" s="1319">
        <v>42460</v>
      </c>
      <c r="D6" s="1308" t="s">
        <v>1287</v>
      </c>
      <c r="E6" s="1308" t="s">
        <v>1474</v>
      </c>
    </row>
    <row r="7" spans="1:5">
      <c r="B7" s="1126"/>
      <c r="C7" s="1152"/>
      <c r="D7" s="1103"/>
      <c r="E7" s="1158"/>
    </row>
    <row r="8" spans="1:5">
      <c r="B8" s="1210" t="s">
        <v>1349</v>
      </c>
      <c r="C8" s="1065"/>
      <c r="D8" s="1104"/>
      <c r="E8" s="1147"/>
    </row>
    <row r="9" spans="1:5">
      <c r="B9" s="1085"/>
      <c r="C9" s="1065"/>
      <c r="D9" s="1104"/>
      <c r="E9" s="1147"/>
    </row>
    <row r="10" spans="1:5" s="1254" customFormat="1">
      <c r="A10" s="1124"/>
      <c r="B10" s="1210" t="s">
        <v>1437</v>
      </c>
      <c r="C10" s="1177">
        <v>0</v>
      </c>
      <c r="D10" s="1050">
        <v>0</v>
      </c>
      <c r="E10" s="1183">
        <v>0</v>
      </c>
    </row>
    <row r="11" spans="1:5" s="1254" customFormat="1">
      <c r="A11" s="1124"/>
      <c r="B11" s="1085"/>
      <c r="C11" s="1065"/>
      <c r="D11" s="1050"/>
      <c r="E11" s="1094"/>
    </row>
    <row r="12" spans="1:5">
      <c r="B12" s="1210" t="s">
        <v>1421</v>
      </c>
      <c r="C12" s="1065"/>
      <c r="D12" s="1070"/>
      <c r="E12" s="1080"/>
    </row>
    <row r="13" spans="1:5" s="1230" customFormat="1">
      <c r="A13" s="1124"/>
      <c r="B13" s="1085"/>
      <c r="C13" s="1065"/>
      <c r="D13" s="1070"/>
      <c r="E13" s="1080"/>
    </row>
    <row r="14" spans="1:5">
      <c r="B14" s="1393" t="s">
        <v>1637</v>
      </c>
      <c r="C14" s="1065"/>
      <c r="D14" s="1070"/>
      <c r="E14" s="1080"/>
    </row>
    <row r="15" spans="1:5">
      <c r="B15" s="1085"/>
      <c r="C15" s="1065"/>
      <c r="D15" s="1070"/>
      <c r="E15" s="1080"/>
    </row>
    <row r="16" spans="1:5" ht="31.5">
      <c r="B16" s="1109" t="s">
        <v>1476</v>
      </c>
      <c r="C16" s="1116">
        <v>0</v>
      </c>
      <c r="D16" s="1052">
        <v>0</v>
      </c>
      <c r="E16" s="1094">
        <f>SUM(C16:D16)</f>
        <v>0</v>
      </c>
    </row>
    <row r="17" spans="1:5" s="1275" customFormat="1">
      <c r="A17" s="1124"/>
      <c r="B17" s="1109"/>
      <c r="C17" s="1116"/>
      <c r="D17" s="1052"/>
      <c r="E17" s="1094"/>
    </row>
    <row r="18" spans="1:5" s="1275" customFormat="1" ht="31.5">
      <c r="A18" s="1124"/>
      <c r="B18" s="1210" t="s">
        <v>1463</v>
      </c>
      <c r="C18" s="1116"/>
      <c r="D18" s="1052"/>
      <c r="E18" s="1094"/>
    </row>
    <row r="19" spans="1:5" ht="31.5">
      <c r="B19" s="1109" t="s">
        <v>1476</v>
      </c>
      <c r="C19" s="1066">
        <v>0</v>
      </c>
      <c r="D19" s="1155">
        <v>0</v>
      </c>
      <c r="E19" s="1155">
        <f>SUM(C19:D19)</f>
        <v>0</v>
      </c>
    </row>
    <row r="20" spans="1:5">
      <c r="B20" s="1085"/>
      <c r="C20" s="1116">
        <f>SUM(C16:C19)</f>
        <v>0</v>
      </c>
      <c r="D20" s="1095">
        <f>SUM(D16:D19)</f>
        <v>0</v>
      </c>
      <c r="E20" s="1095">
        <f>SUM(E16:E19)</f>
        <v>0</v>
      </c>
    </row>
    <row r="21" spans="1:5">
      <c r="B21" s="1085"/>
      <c r="C21" s="1065"/>
      <c r="D21" s="1255"/>
      <c r="E21" s="1080"/>
    </row>
    <row r="22" spans="1:5">
      <c r="B22" s="1393" t="s">
        <v>1638</v>
      </c>
      <c r="C22" s="1065"/>
      <c r="D22" s="1255"/>
      <c r="E22" s="1080"/>
    </row>
    <row r="23" spans="1:5">
      <c r="B23" s="1085"/>
      <c r="C23" s="1065"/>
      <c r="D23" s="1255"/>
      <c r="E23" s="1080"/>
    </row>
    <row r="24" spans="1:5" ht="31.5">
      <c r="B24" s="1109" t="s">
        <v>1476</v>
      </c>
      <c r="C24" s="1065">
        <v>0</v>
      </c>
      <c r="D24" s="1079">
        <f>-C24</f>
        <v>0</v>
      </c>
      <c r="E24" s="1094">
        <f>SUM(C24:D24)</f>
        <v>0</v>
      </c>
    </row>
    <row r="25" spans="1:5">
      <c r="B25" s="1085"/>
      <c r="C25" s="1065"/>
      <c r="D25" s="1255"/>
      <c r="E25" s="1080"/>
    </row>
    <row r="26" spans="1:5" ht="31.5">
      <c r="B26" s="1109" t="s">
        <v>1476</v>
      </c>
      <c r="C26" s="1065"/>
      <c r="D26" s="1255"/>
      <c r="E26" s="1080"/>
    </row>
    <row r="27" spans="1:5">
      <c r="B27" s="1393" t="s">
        <v>1657</v>
      </c>
      <c r="C27" s="1066"/>
      <c r="D27" s="1256"/>
      <c r="E27" s="1090"/>
    </row>
    <row r="28" spans="1:5">
      <c r="B28" s="1085"/>
      <c r="C28" s="1065">
        <f>SUM(C24:C26)</f>
        <v>0</v>
      </c>
      <c r="D28" s="1065">
        <f>SUM(D24:D26)</f>
        <v>0</v>
      </c>
      <c r="E28" s="1129">
        <f>SUM(C28:D28)</f>
        <v>0</v>
      </c>
    </row>
    <row r="29" spans="1:5">
      <c r="B29" s="1085"/>
      <c r="C29" s="1065"/>
      <c r="D29" s="1070"/>
      <c r="E29" s="1147"/>
    </row>
    <row r="30" spans="1:5">
      <c r="B30" s="1393" t="s">
        <v>1639</v>
      </c>
      <c r="C30" s="1065"/>
      <c r="D30" s="1070"/>
      <c r="E30" s="1147"/>
    </row>
    <row r="31" spans="1:5" ht="31.5">
      <c r="B31" s="1109" t="s">
        <v>1478</v>
      </c>
      <c r="C31" s="1065">
        <v>0</v>
      </c>
      <c r="D31" s="1070">
        <v>0</v>
      </c>
      <c r="E31" s="1129">
        <f t="shared" ref="E31:E35" si="0">SUM(C31:D31)</f>
        <v>0</v>
      </c>
    </row>
    <row r="32" spans="1:5" ht="43.5" customHeight="1">
      <c r="B32" s="1109" t="s">
        <v>1479</v>
      </c>
      <c r="C32" s="1065">
        <v>0</v>
      </c>
      <c r="D32" s="1070">
        <v>0</v>
      </c>
      <c r="E32" s="1129">
        <f t="shared" si="0"/>
        <v>0</v>
      </c>
    </row>
    <row r="33" spans="1:5" ht="34.5" customHeight="1">
      <c r="B33" s="1109" t="s">
        <v>1480</v>
      </c>
      <c r="C33" s="1065">
        <v>0</v>
      </c>
      <c r="D33" s="1070">
        <v>0</v>
      </c>
      <c r="E33" s="1129">
        <f t="shared" si="0"/>
        <v>0</v>
      </c>
    </row>
    <row r="34" spans="1:5" ht="31.5">
      <c r="B34" s="1109" t="s">
        <v>1481</v>
      </c>
      <c r="C34" s="1065">
        <v>0</v>
      </c>
      <c r="D34" s="1070">
        <v>0</v>
      </c>
      <c r="E34" s="1129">
        <f t="shared" si="0"/>
        <v>0</v>
      </c>
    </row>
    <row r="35" spans="1:5" ht="63" customHeight="1">
      <c r="B35" s="1109" t="s">
        <v>1656</v>
      </c>
      <c r="C35" s="1066">
        <v>0</v>
      </c>
      <c r="D35" s="1130">
        <v>0</v>
      </c>
      <c r="E35" s="1159">
        <f t="shared" si="0"/>
        <v>0</v>
      </c>
    </row>
    <row r="36" spans="1:5">
      <c r="B36" s="1085"/>
      <c r="C36" s="1065">
        <f>SUM(C31:C35)</f>
        <v>0</v>
      </c>
      <c r="D36" s="1065">
        <f>SUM(D31:D35)</f>
        <v>0</v>
      </c>
      <c r="E36" s="1065">
        <f>SUM(E31:E35)</f>
        <v>0</v>
      </c>
    </row>
    <row r="37" spans="1:5">
      <c r="B37" s="1393" t="s">
        <v>1640</v>
      </c>
      <c r="C37" s="1065"/>
      <c r="D37" s="1070"/>
      <c r="E37" s="1147"/>
    </row>
    <row r="38" spans="1:5">
      <c r="B38" s="1307" t="s">
        <v>1482</v>
      </c>
      <c r="C38" s="1065"/>
      <c r="D38" s="1070"/>
      <c r="E38" s="1147"/>
    </row>
    <row r="39" spans="1:5">
      <c r="B39" s="1307" t="s">
        <v>1483</v>
      </c>
      <c r="C39" s="1065">
        <v>0</v>
      </c>
      <c r="D39" s="1070">
        <v>0</v>
      </c>
      <c r="E39" s="1129">
        <f>SUM(C39:D39)</f>
        <v>0</v>
      </c>
    </row>
    <row r="40" spans="1:5">
      <c r="B40" s="1393" t="s">
        <v>1669</v>
      </c>
      <c r="C40" s="1066">
        <v>0</v>
      </c>
      <c r="D40" s="1066">
        <v>0</v>
      </c>
      <c r="E40" s="1159">
        <f>SUM(C40:D40)</f>
        <v>0</v>
      </c>
    </row>
    <row r="41" spans="1:5">
      <c r="B41" s="1085"/>
      <c r="C41" s="1116">
        <f>+C39-C40</f>
        <v>0</v>
      </c>
      <c r="D41" s="1070">
        <v>0</v>
      </c>
      <c r="E41" s="1129">
        <f>SUM(C41:D41)</f>
        <v>0</v>
      </c>
    </row>
    <row r="42" spans="1:5">
      <c r="B42" s="1109"/>
      <c r="C42" s="1116">
        <v>0</v>
      </c>
      <c r="D42" s="1052">
        <v>0</v>
      </c>
      <c r="E42" s="1129">
        <f>SUM(C42:D42)</f>
        <v>0</v>
      </c>
    </row>
    <row r="43" spans="1:5">
      <c r="B43" s="1149"/>
      <c r="C43" s="1066"/>
      <c r="D43" s="1130"/>
      <c r="E43" s="1148"/>
    </row>
    <row r="44" spans="1:5">
      <c r="B44" s="1207" t="s">
        <v>806</v>
      </c>
      <c r="C44" s="1139">
        <f>+C42+C41+C36+C28+C20</f>
        <v>0</v>
      </c>
      <c r="D44" s="1139">
        <f>+D42+D41+SUM(D28:D35)+D20</f>
        <v>0</v>
      </c>
      <c r="E44" s="1178">
        <f>+E42+E41+SUM(E28:E35)+E20</f>
        <v>0</v>
      </c>
    </row>
    <row r="45" spans="1:5">
      <c r="B45" s="1077"/>
      <c r="C45" s="1077"/>
      <c r="D45" s="1048"/>
      <c r="E45" s="1039"/>
    </row>
    <row r="46" spans="1:5" s="1230" customFormat="1">
      <c r="A46" s="1320"/>
      <c r="B46" s="1383" t="s">
        <v>1623</v>
      </c>
      <c r="C46" s="1040"/>
      <c r="D46" s="1040"/>
    </row>
    <row r="47" spans="1:5" s="1230" customFormat="1">
      <c r="A47" s="1320"/>
      <c r="B47" s="1201"/>
      <c r="C47" s="1040"/>
      <c r="D47" s="1040"/>
    </row>
    <row r="48" spans="1:5" s="1230" customFormat="1" ht="31.5">
      <c r="B48" s="1236" t="s">
        <v>1624</v>
      </c>
      <c r="C48" s="1237" t="s">
        <v>1419</v>
      </c>
      <c r="D48" s="1237" t="s">
        <v>1420</v>
      </c>
      <c r="E48" s="1237" t="s">
        <v>1435</v>
      </c>
    </row>
    <row r="49" spans="1:5" s="1230" customFormat="1">
      <c r="B49" s="1232" t="s">
        <v>1477</v>
      </c>
      <c r="C49" s="1231"/>
      <c r="D49" s="1231"/>
      <c r="E49" s="1233"/>
    </row>
    <row r="50" spans="1:5" s="1230" customFormat="1">
      <c r="A50" s="1320"/>
      <c r="B50" s="1191"/>
      <c r="C50" s="1191"/>
      <c r="D50" s="1191"/>
      <c r="E50" s="1191"/>
    </row>
    <row r="51" spans="1:5" s="1275" customFormat="1">
      <c r="A51" s="1320"/>
      <c r="B51" s="1222" t="s">
        <v>1599</v>
      </c>
      <c r="C51" s="1191"/>
      <c r="D51" s="1191"/>
      <c r="E51" s="1191"/>
    </row>
    <row r="52" spans="1:5" s="1275" customFormat="1">
      <c r="A52" s="1320"/>
      <c r="B52" s="1191"/>
      <c r="C52" s="1191"/>
      <c r="D52" s="1191"/>
      <c r="E52" s="1191"/>
    </row>
    <row r="53" spans="1:5" s="1275" customFormat="1" ht="31.5">
      <c r="A53" s="1412"/>
      <c r="B53" s="1236" t="s">
        <v>1598</v>
      </c>
      <c r="C53" s="1237" t="s">
        <v>1419</v>
      </c>
      <c r="D53" s="1237" t="s">
        <v>1420</v>
      </c>
      <c r="E53" s="1237" t="s">
        <v>1435</v>
      </c>
    </row>
    <row r="54" spans="1:5" s="1275" customFormat="1">
      <c r="A54" s="1412"/>
      <c r="B54" s="1232" t="s">
        <v>1484</v>
      </c>
      <c r="C54" s="1232"/>
      <c r="D54" s="1232"/>
      <c r="E54" s="1263"/>
    </row>
    <row r="55" spans="1:5" s="1275" customFormat="1">
      <c r="A55" s="1320"/>
      <c r="B55" s="1191"/>
      <c r="C55" s="1191"/>
      <c r="D55" s="1191"/>
      <c r="E55" s="1191"/>
    </row>
    <row r="56" spans="1:5" s="1230" customFormat="1">
      <c r="A56" s="1320"/>
      <c r="B56" s="1222" t="s">
        <v>1436</v>
      </c>
      <c r="C56" s="1191"/>
      <c r="D56" s="1191"/>
      <c r="E56" s="1191"/>
    </row>
    <row r="57" spans="1:5" s="1230" customFormat="1">
      <c r="A57" s="1320"/>
      <c r="B57" s="1191"/>
      <c r="C57" s="1191"/>
      <c r="D57" s="1191"/>
      <c r="E57" s="1191"/>
    </row>
    <row r="58" spans="1:5" s="1230" customFormat="1" ht="31.5">
      <c r="A58" s="1412"/>
      <c r="B58" s="1236" t="s">
        <v>1423</v>
      </c>
      <c r="C58" s="1237" t="s">
        <v>1419</v>
      </c>
      <c r="D58" s="1237" t="s">
        <v>1420</v>
      </c>
      <c r="E58" s="1237" t="s">
        <v>1435</v>
      </c>
    </row>
    <row r="59" spans="1:5" s="1230" customFormat="1">
      <c r="A59" s="1412"/>
      <c r="B59" s="1232" t="s">
        <v>1484</v>
      </c>
      <c r="C59" s="1231"/>
      <c r="D59" s="1231"/>
      <c r="E59" s="1233"/>
    </row>
    <row r="60" spans="1:5" s="1230" customFormat="1">
      <c r="A60" s="1412"/>
      <c r="B60" s="1232" t="s">
        <v>1484</v>
      </c>
      <c r="C60" s="1232"/>
      <c r="D60" s="1232"/>
      <c r="E60" s="1238"/>
    </row>
    <row r="61" spans="1:5" s="1230" customFormat="1">
      <c r="A61" s="1412"/>
      <c r="B61" s="1232" t="s">
        <v>1484</v>
      </c>
      <c r="C61" s="1232"/>
      <c r="D61" s="1232"/>
      <c r="E61" s="1238"/>
    </row>
    <row r="62" spans="1:5" s="1230" customFormat="1">
      <c r="A62" s="1412"/>
      <c r="B62" s="1232" t="s">
        <v>1484</v>
      </c>
      <c r="C62" s="1123"/>
      <c r="D62" s="1232"/>
      <c r="E62" s="1238"/>
    </row>
    <row r="63" spans="1:5" s="1230" customFormat="1">
      <c r="A63" s="1412"/>
      <c r="B63" s="1232" t="s">
        <v>1484</v>
      </c>
      <c r="C63" s="1232"/>
      <c r="D63" s="1232"/>
      <c r="E63" s="1238"/>
    </row>
    <row r="64" spans="1:5" s="1230" customFormat="1">
      <c r="A64" s="1320"/>
      <c r="B64" s="1191"/>
      <c r="C64" s="1191"/>
      <c r="D64" s="1191"/>
    </row>
    <row r="65" spans="1:5" s="1217" customFormat="1">
      <c r="A65" s="1320"/>
      <c r="B65" s="1191"/>
      <c r="C65" s="1191"/>
      <c r="D65" s="1191"/>
    </row>
    <row r="66" spans="1:5">
      <c r="A66" s="1132">
        <f>A4+1</f>
        <v>6</v>
      </c>
      <c r="B66" s="1041" t="s">
        <v>1681</v>
      </c>
    </row>
    <row r="67" spans="1:5">
      <c r="B67" s="1041"/>
      <c r="D67" s="1201"/>
      <c r="E67" s="1105" t="s">
        <v>1471</v>
      </c>
    </row>
    <row r="68" spans="1:5" s="1306" customFormat="1">
      <c r="A68" s="1124"/>
      <c r="B68" s="1057" t="s">
        <v>77</v>
      </c>
      <c r="C68" s="1319">
        <v>42460</v>
      </c>
      <c r="D68" s="1308" t="s">
        <v>1410</v>
      </c>
      <c r="E68" s="1309" t="s">
        <v>1474</v>
      </c>
    </row>
    <row r="69" spans="1:5">
      <c r="B69" s="1072"/>
      <c r="C69" s="1150"/>
      <c r="D69" s="1103"/>
      <c r="E69" s="1163"/>
    </row>
    <row r="70" spans="1:5">
      <c r="B70" s="1078" t="s">
        <v>1106</v>
      </c>
      <c r="C70" s="1080"/>
      <c r="D70" s="1052"/>
      <c r="E70" s="1080"/>
    </row>
    <row r="71" spans="1:5">
      <c r="B71" s="1073" t="s">
        <v>1350</v>
      </c>
      <c r="C71" s="1094">
        <v>0</v>
      </c>
      <c r="D71" s="1052"/>
      <c r="E71" s="1080"/>
    </row>
    <row r="72" spans="1:5">
      <c r="B72" s="1073" t="s">
        <v>1351</v>
      </c>
      <c r="C72" s="1094">
        <v>0</v>
      </c>
      <c r="D72" s="1094">
        <v>0</v>
      </c>
      <c r="E72" s="1184">
        <f>C72+D72</f>
        <v>0</v>
      </c>
    </row>
    <row r="73" spans="1:5">
      <c r="B73" s="1073" t="s">
        <v>1352</v>
      </c>
      <c r="C73" s="1155">
        <v>0</v>
      </c>
      <c r="D73" s="1155">
        <v>0</v>
      </c>
      <c r="E73" s="1184">
        <f t="shared" ref="E73:E76" si="1">C73+D73</f>
        <v>0</v>
      </c>
    </row>
    <row r="74" spans="1:5">
      <c r="B74" s="1091" t="s">
        <v>93</v>
      </c>
      <c r="C74" s="1094">
        <v>0</v>
      </c>
      <c r="D74" s="1094">
        <f>SUM(D72:D73)</f>
        <v>0</v>
      </c>
      <c r="E74" s="1189">
        <f t="shared" si="1"/>
        <v>0</v>
      </c>
    </row>
    <row r="75" spans="1:5">
      <c r="B75" s="1423" t="s">
        <v>1670</v>
      </c>
      <c r="C75" s="1155">
        <v>0</v>
      </c>
      <c r="D75" s="1155">
        <v>0</v>
      </c>
      <c r="E75" s="1190">
        <f t="shared" si="1"/>
        <v>0</v>
      </c>
    </row>
    <row r="76" spans="1:5">
      <c r="B76" s="1073"/>
      <c r="C76" s="1094">
        <v>0</v>
      </c>
      <c r="D76" s="1094">
        <f>D74-D75</f>
        <v>0</v>
      </c>
      <c r="E76" s="1184">
        <f t="shared" si="1"/>
        <v>0</v>
      </c>
    </row>
    <row r="77" spans="1:5">
      <c r="B77" s="1073"/>
      <c r="C77" s="1094"/>
      <c r="D77" s="1052"/>
      <c r="E77" s="1184"/>
    </row>
    <row r="78" spans="1:5">
      <c r="B78" s="1093" t="s">
        <v>860</v>
      </c>
      <c r="C78" s="1156">
        <f>+C76</f>
        <v>0</v>
      </c>
      <c r="D78" s="1156">
        <f t="shared" ref="D78:E78" si="2">+D76</f>
        <v>0</v>
      </c>
      <c r="E78" s="1156">
        <f t="shared" si="2"/>
        <v>0</v>
      </c>
    </row>
    <row r="79" spans="1:5">
      <c r="A79" s="1320"/>
      <c r="B79" s="1191"/>
      <c r="C79" s="1191"/>
      <c r="D79" s="1191"/>
    </row>
    <row r="80" spans="1:5">
      <c r="A80" s="1320"/>
      <c r="B80" s="1572" t="s">
        <v>1411</v>
      </c>
      <c r="C80" s="1572"/>
      <c r="D80" s="1572"/>
      <c r="E80" s="1572"/>
    </row>
    <row r="81" spans="1:6" s="1221" customFormat="1">
      <c r="A81" s="1320"/>
      <c r="B81" s="1220"/>
      <c r="C81" s="1220"/>
      <c r="D81" s="1220"/>
      <c r="E81" s="1220"/>
    </row>
    <row r="82" spans="1:6" s="1230" customFormat="1">
      <c r="A82" s="1320">
        <f>+A66+1</f>
        <v>7</v>
      </c>
      <c r="B82" s="1242" t="s">
        <v>1682</v>
      </c>
      <c r="C82" s="1079"/>
      <c r="D82" s="1048"/>
      <c r="E82" s="1023"/>
      <c r="F82" s="1223"/>
    </row>
    <row r="83" spans="1:6" s="1230" customFormat="1" ht="24.75" customHeight="1">
      <c r="A83" s="1320"/>
      <c r="C83" s="1040"/>
      <c r="E83" s="1105" t="s">
        <v>1471</v>
      </c>
      <c r="F83" s="1223"/>
    </row>
    <row r="84" spans="1:6" s="1306" customFormat="1">
      <c r="A84" s="1320"/>
      <c r="B84" s="1097" t="s">
        <v>77</v>
      </c>
      <c r="C84" s="1319">
        <v>42460</v>
      </c>
      <c r="D84" s="1059" t="s">
        <v>1433</v>
      </c>
      <c r="E84" s="1059" t="s">
        <v>1474</v>
      </c>
      <c r="F84" s="1321"/>
    </row>
    <row r="85" spans="1:6" s="1230" customFormat="1">
      <c r="A85" s="1320"/>
      <c r="B85" s="1245"/>
      <c r="C85" s="1244"/>
      <c r="D85" s="1244"/>
      <c r="E85" s="1244"/>
      <c r="F85" s="1223"/>
    </row>
    <row r="86" spans="1:6" s="1230" customFormat="1">
      <c r="A86" s="1320"/>
      <c r="B86" s="1112" t="s">
        <v>1358</v>
      </c>
      <c r="C86" s="1080"/>
      <c r="D86" s="1052"/>
      <c r="E86" s="1147"/>
      <c r="F86" s="1223"/>
    </row>
    <row r="87" spans="1:6" s="1230" customFormat="1">
      <c r="A87" s="1320"/>
      <c r="B87" s="1114" t="s">
        <v>1706</v>
      </c>
      <c r="C87" s="1065">
        <v>0</v>
      </c>
      <c r="D87" s="1052">
        <v>0</v>
      </c>
      <c r="E87" s="1188">
        <f>C87-D87</f>
        <v>0</v>
      </c>
      <c r="F87" s="1223"/>
    </row>
    <row r="88" spans="1:6" s="1230" customFormat="1">
      <c r="A88" s="1320"/>
      <c r="B88" s="1114" t="s">
        <v>1707</v>
      </c>
      <c r="C88" s="1094">
        <v>0</v>
      </c>
      <c r="D88" s="1052">
        <v>0</v>
      </c>
      <c r="E88" s="1188">
        <f>C88+D88</f>
        <v>0</v>
      </c>
      <c r="F88" s="1223"/>
    </row>
    <row r="89" spans="1:6" s="1230" customFormat="1">
      <c r="A89" s="1320"/>
      <c r="B89" s="1114" t="s">
        <v>1708</v>
      </c>
      <c r="C89" s="1065">
        <v>0</v>
      </c>
      <c r="D89" s="1066">
        <v>0</v>
      </c>
      <c r="E89" s="1190">
        <f>C89+D89</f>
        <v>0</v>
      </c>
      <c r="F89" s="1223"/>
    </row>
    <row r="90" spans="1:6" s="1230" customFormat="1">
      <c r="A90" s="1320"/>
      <c r="B90" s="1153" t="s">
        <v>93</v>
      </c>
      <c r="C90" s="1095">
        <f>SUM(C87:C89)</f>
        <v>0</v>
      </c>
      <c r="D90" s="1052">
        <f>SUM(D87:D89)</f>
        <v>0</v>
      </c>
      <c r="E90" s="1129">
        <f>SUM(C90:D90)</f>
        <v>0</v>
      </c>
      <c r="F90" s="1223"/>
    </row>
    <row r="91" spans="1:6" s="1391" customFormat="1">
      <c r="A91" s="1320"/>
      <c r="B91" s="1114" t="s">
        <v>1671</v>
      </c>
      <c r="C91" s="1065">
        <v>0</v>
      </c>
      <c r="D91" s="1052">
        <v>0</v>
      </c>
      <c r="E91" s="1190">
        <f t="shared" ref="E91:E92" si="3">C91+D91</f>
        <v>0</v>
      </c>
      <c r="F91" s="1223"/>
    </row>
    <row r="92" spans="1:6" s="1391" customFormat="1">
      <c r="A92" s="1320"/>
      <c r="B92" s="1243" t="s">
        <v>1424</v>
      </c>
      <c r="C92" s="1095">
        <f>+C90-C91</f>
        <v>0</v>
      </c>
      <c r="D92" s="1095">
        <f>+D90-D91</f>
        <v>0</v>
      </c>
      <c r="E92" s="1188">
        <f t="shared" si="3"/>
        <v>0</v>
      </c>
      <c r="F92" s="1223"/>
    </row>
    <row r="93" spans="1:6" s="1230" customFormat="1">
      <c r="A93" s="1320"/>
      <c r="B93" s="1114"/>
      <c r="C93" s="1094"/>
      <c r="D93" s="1052"/>
      <c r="E93" s="1147"/>
      <c r="F93" s="1223"/>
    </row>
    <row r="94" spans="1:6" s="1230" customFormat="1">
      <c r="A94" s="1320"/>
      <c r="B94" s="1112" t="s">
        <v>1359</v>
      </c>
      <c r="C94" s="1094"/>
      <c r="D94" s="1052"/>
      <c r="E94" s="1147"/>
      <c r="F94" s="1223"/>
    </row>
    <row r="95" spans="1:6" s="1230" customFormat="1">
      <c r="A95" s="1320"/>
      <c r="B95" s="1114" t="s">
        <v>1338</v>
      </c>
      <c r="C95" s="1065">
        <v>0</v>
      </c>
      <c r="D95" s="1052">
        <v>0</v>
      </c>
      <c r="E95" s="1188">
        <f>C95+D95</f>
        <v>0</v>
      </c>
      <c r="F95" s="1223"/>
    </row>
    <row r="96" spans="1:6" s="1230" customFormat="1">
      <c r="A96" s="1320"/>
      <c r="B96" s="1114" t="s">
        <v>1428</v>
      </c>
      <c r="C96" s="1065">
        <v>0</v>
      </c>
      <c r="D96" s="1052">
        <v>0</v>
      </c>
      <c r="E96" s="1188">
        <f t="shared" ref="E96:E100" si="4">C96+D96</f>
        <v>0</v>
      </c>
      <c r="F96" s="1223"/>
    </row>
    <row r="97" spans="1:6" s="1230" customFormat="1">
      <c r="A97" s="1320"/>
      <c r="B97" s="1114" t="s">
        <v>1429</v>
      </c>
      <c r="C97" s="1065">
        <v>0</v>
      </c>
      <c r="D97" s="1052">
        <v>0</v>
      </c>
      <c r="E97" s="1190">
        <f t="shared" si="4"/>
        <v>0</v>
      </c>
      <c r="F97" s="1223"/>
    </row>
    <row r="98" spans="1:6" s="1230" customFormat="1">
      <c r="A98" s="1320"/>
      <c r="B98" s="1153" t="s">
        <v>93</v>
      </c>
      <c r="C98" s="1096">
        <f>SUM(C95:C97)</f>
        <v>0</v>
      </c>
      <c r="D98" s="1096">
        <f>SUM(D95:D97)</f>
        <v>0</v>
      </c>
      <c r="E98" s="1188">
        <f t="shared" si="4"/>
        <v>0</v>
      </c>
      <c r="F98" s="1223"/>
    </row>
    <row r="99" spans="1:6" s="1230" customFormat="1">
      <c r="A99" s="1320"/>
      <c r="B99" s="1114" t="s">
        <v>1672</v>
      </c>
      <c r="C99" s="1065">
        <v>0</v>
      </c>
      <c r="D99" s="1052">
        <v>0</v>
      </c>
      <c r="E99" s="1190">
        <f t="shared" si="4"/>
        <v>0</v>
      </c>
      <c r="F99" s="1223"/>
    </row>
    <row r="100" spans="1:6" s="1230" customFormat="1">
      <c r="A100" s="1320"/>
      <c r="B100" s="1243" t="s">
        <v>1425</v>
      </c>
      <c r="C100" s="1095">
        <f>+C98-C99</f>
        <v>0</v>
      </c>
      <c r="D100" s="1095">
        <f>+D98-D99</f>
        <v>0</v>
      </c>
      <c r="E100" s="1188">
        <f t="shared" si="4"/>
        <v>0</v>
      </c>
      <c r="F100" s="1223"/>
    </row>
    <row r="101" spans="1:6" s="1230" customFormat="1">
      <c r="A101" s="1320"/>
      <c r="B101" s="1114"/>
      <c r="C101" s="1094"/>
      <c r="D101" s="1052"/>
      <c r="E101" s="1147"/>
      <c r="F101" s="1223"/>
    </row>
    <row r="102" spans="1:6" s="1230" customFormat="1">
      <c r="A102" s="1320"/>
      <c r="B102" s="1112" t="s">
        <v>1464</v>
      </c>
      <c r="C102" s="1094"/>
      <c r="D102" s="1052"/>
      <c r="E102" s="1147"/>
      <c r="F102" s="1223"/>
    </row>
    <row r="103" spans="1:6" s="1230" customFormat="1">
      <c r="A103" s="1320"/>
      <c r="B103" s="1114" t="s">
        <v>1426</v>
      </c>
      <c r="C103" s="1154">
        <v>0</v>
      </c>
      <c r="D103" s="1052">
        <f t="shared" ref="D103" si="5">-C103</f>
        <v>0</v>
      </c>
      <c r="E103" s="1188">
        <f t="shared" ref="E103:E108" si="6">C103+D103</f>
        <v>0</v>
      </c>
      <c r="F103" s="1223"/>
    </row>
    <row r="104" spans="1:6" s="1230" customFormat="1">
      <c r="A104" s="1320"/>
      <c r="B104" s="1114" t="s">
        <v>1600</v>
      </c>
      <c r="C104" s="1094">
        <v>0</v>
      </c>
      <c r="D104" s="1052">
        <v>0</v>
      </c>
      <c r="E104" s="1188">
        <f t="shared" si="6"/>
        <v>0</v>
      </c>
      <c r="F104" s="1223"/>
    </row>
    <row r="105" spans="1:6" s="1230" customFormat="1">
      <c r="A105" s="1320"/>
      <c r="B105" s="1114" t="s">
        <v>1427</v>
      </c>
      <c r="C105" s="1154">
        <v>0</v>
      </c>
      <c r="D105" s="1052">
        <v>0</v>
      </c>
      <c r="E105" s="1190">
        <f t="shared" si="6"/>
        <v>0</v>
      </c>
      <c r="F105" s="1223"/>
    </row>
    <row r="106" spans="1:6" s="1230" customFormat="1">
      <c r="A106" s="1320"/>
      <c r="B106" s="1153" t="s">
        <v>93</v>
      </c>
      <c r="C106" s="1095">
        <f>SUM(C103:C105)</f>
        <v>0</v>
      </c>
      <c r="D106" s="1095">
        <f>SUM(D103:D105)</f>
        <v>0</v>
      </c>
      <c r="E106" s="1188">
        <f t="shared" si="6"/>
        <v>0</v>
      </c>
      <c r="F106" s="1223"/>
    </row>
    <row r="107" spans="1:6" s="1230" customFormat="1">
      <c r="A107" s="1320"/>
      <c r="B107" s="1114" t="s">
        <v>1672</v>
      </c>
      <c r="C107" s="1154">
        <v>0</v>
      </c>
      <c r="D107" s="1052">
        <v>0</v>
      </c>
      <c r="E107" s="1190">
        <f t="shared" si="6"/>
        <v>0</v>
      </c>
      <c r="F107" s="1223"/>
    </row>
    <row r="108" spans="1:6" s="1230" customFormat="1">
      <c r="A108" s="1320"/>
      <c r="B108" s="1282" t="s">
        <v>1432</v>
      </c>
      <c r="C108" s="1283">
        <f>+C106-C107</f>
        <v>0</v>
      </c>
      <c r="D108" s="1283">
        <f>+D106-D107</f>
        <v>0</v>
      </c>
      <c r="E108" s="1284">
        <f t="shared" si="6"/>
        <v>0</v>
      </c>
      <c r="F108" s="1223"/>
    </row>
    <row r="109" spans="1:6" s="1230" customFormat="1">
      <c r="A109" s="1320"/>
      <c r="B109" s="1058"/>
      <c r="C109" s="1152"/>
      <c r="D109" s="1103"/>
      <c r="E109" s="1103"/>
      <c r="F109" s="1223"/>
    </row>
    <row r="110" spans="1:6" s="1230" customFormat="1">
      <c r="A110" s="1320"/>
      <c r="B110" s="1058" t="s">
        <v>1517</v>
      </c>
      <c r="C110" s="1152"/>
      <c r="D110" s="1103"/>
      <c r="E110" s="1103"/>
      <c r="F110" s="1223"/>
    </row>
    <row r="111" spans="1:6" s="1230" customFormat="1">
      <c r="A111" s="1320"/>
      <c r="B111" s="1114" t="s">
        <v>1426</v>
      </c>
      <c r="C111" s="1154">
        <v>0</v>
      </c>
      <c r="D111" s="1052">
        <f t="shared" ref="D111" si="7">-C111</f>
        <v>0</v>
      </c>
      <c r="E111" s="1188">
        <f t="shared" ref="E111:E115" si="8">C111+D111</f>
        <v>0</v>
      </c>
      <c r="F111" s="1223"/>
    </row>
    <row r="112" spans="1:6" s="1230" customFormat="1">
      <c r="A112" s="1320"/>
      <c r="B112" s="1114" t="s">
        <v>1600</v>
      </c>
      <c r="C112" s="1094">
        <v>0</v>
      </c>
      <c r="D112" s="1052">
        <v>0</v>
      </c>
      <c r="E112" s="1188">
        <f t="shared" si="8"/>
        <v>0</v>
      </c>
      <c r="F112" s="1223"/>
    </row>
    <row r="113" spans="1:6" s="1230" customFormat="1">
      <c r="A113" s="1320"/>
      <c r="B113" s="1114" t="s">
        <v>1427</v>
      </c>
      <c r="C113" s="1154">
        <v>0</v>
      </c>
      <c r="D113" s="1052">
        <v>0</v>
      </c>
      <c r="E113" s="1190">
        <f t="shared" si="8"/>
        <v>0</v>
      </c>
      <c r="F113" s="1223"/>
    </row>
    <row r="114" spans="1:6" s="1322" customFormat="1">
      <c r="A114" s="1320"/>
      <c r="B114" s="1153" t="s">
        <v>93</v>
      </c>
      <c r="C114" s="1095">
        <f>SUM(C111:C113)</f>
        <v>0</v>
      </c>
      <c r="D114" s="1095">
        <f>SUM(D111:D113)</f>
        <v>0</v>
      </c>
      <c r="E114" s="1188">
        <f t="shared" si="8"/>
        <v>0</v>
      </c>
      <c r="F114" s="1223"/>
    </row>
    <row r="115" spans="1:6" s="1230" customFormat="1">
      <c r="A115" s="1320"/>
      <c r="B115" s="1114" t="s">
        <v>1672</v>
      </c>
      <c r="C115" s="1154">
        <v>0</v>
      </c>
      <c r="D115" s="1052">
        <v>0</v>
      </c>
      <c r="E115" s="1190">
        <f t="shared" si="8"/>
        <v>0</v>
      </c>
      <c r="F115" s="1223"/>
    </row>
    <row r="116" spans="1:6" s="1230" customFormat="1">
      <c r="A116" s="1320"/>
      <c r="B116" s="1282" t="s">
        <v>1431</v>
      </c>
      <c r="C116" s="1094">
        <v>0</v>
      </c>
      <c r="D116" s="1052">
        <v>0</v>
      </c>
      <c r="E116" s="1188">
        <f t="shared" ref="E116" si="9">C116+D116</f>
        <v>0</v>
      </c>
      <c r="F116" s="1223"/>
    </row>
    <row r="117" spans="1:6" s="1356" customFormat="1">
      <c r="A117" s="1320"/>
      <c r="B117" s="1114"/>
      <c r="C117" s="1094"/>
      <c r="D117" s="1052"/>
      <c r="E117" s="1188"/>
      <c r="F117" s="1223"/>
    </row>
    <row r="118" spans="1:6" s="1230" customFormat="1">
      <c r="A118" s="1320"/>
      <c r="B118" s="1058" t="s">
        <v>1518</v>
      </c>
      <c r="C118" s="1152"/>
      <c r="D118" s="1103"/>
      <c r="E118" s="1103"/>
      <c r="F118" s="1223"/>
    </row>
    <row r="119" spans="1:6" s="1366" customFormat="1">
      <c r="A119" s="1320"/>
      <c r="B119" s="1114" t="s">
        <v>1426</v>
      </c>
      <c r="C119" s="1154">
        <v>0</v>
      </c>
      <c r="D119" s="1052">
        <f t="shared" ref="D119" si="10">-C119</f>
        <v>0</v>
      </c>
      <c r="E119" s="1188">
        <f t="shared" ref="E119:E124" si="11">C119+D119</f>
        <v>0</v>
      </c>
      <c r="F119" s="1223"/>
    </row>
    <row r="120" spans="1:6" s="1366" customFormat="1">
      <c r="A120" s="1320"/>
      <c r="B120" s="1114" t="s">
        <v>1600</v>
      </c>
      <c r="C120" s="1094">
        <v>0</v>
      </c>
      <c r="D120" s="1052">
        <v>0</v>
      </c>
      <c r="E120" s="1188">
        <f t="shared" si="11"/>
        <v>0</v>
      </c>
      <c r="F120" s="1223"/>
    </row>
    <row r="121" spans="1:6" s="1366" customFormat="1">
      <c r="A121" s="1320"/>
      <c r="B121" s="1114" t="s">
        <v>1427</v>
      </c>
      <c r="C121" s="1154">
        <v>0</v>
      </c>
      <c r="D121" s="1052">
        <v>0</v>
      </c>
      <c r="E121" s="1190">
        <f t="shared" si="11"/>
        <v>0</v>
      </c>
      <c r="F121" s="1223"/>
    </row>
    <row r="122" spans="1:6" s="1366" customFormat="1">
      <c r="A122" s="1320"/>
      <c r="B122" s="1153" t="s">
        <v>93</v>
      </c>
      <c r="C122" s="1095">
        <f>SUM(C119:C121)</f>
        <v>0</v>
      </c>
      <c r="D122" s="1095">
        <f>SUM(D119:D121)</f>
        <v>0</v>
      </c>
      <c r="E122" s="1188">
        <f t="shared" si="11"/>
        <v>0</v>
      </c>
      <c r="F122" s="1223"/>
    </row>
    <row r="123" spans="1:6" s="1366" customFormat="1">
      <c r="A123" s="1320"/>
      <c r="B123" s="1114" t="s">
        <v>1672</v>
      </c>
      <c r="C123" s="1154">
        <v>0</v>
      </c>
      <c r="D123" s="1052">
        <v>0</v>
      </c>
      <c r="E123" s="1190">
        <f t="shared" si="11"/>
        <v>0</v>
      </c>
      <c r="F123" s="1223"/>
    </row>
    <row r="124" spans="1:6" s="1366" customFormat="1">
      <c r="A124" s="1320"/>
      <c r="B124" s="1282" t="s">
        <v>1503</v>
      </c>
      <c r="C124" s="1094">
        <v>0</v>
      </c>
      <c r="D124" s="1052">
        <v>0</v>
      </c>
      <c r="E124" s="1188">
        <f t="shared" si="11"/>
        <v>0</v>
      </c>
      <c r="F124" s="1223"/>
    </row>
    <row r="125" spans="1:6" s="1366" customFormat="1">
      <c r="A125" s="1320"/>
      <c r="B125" s="1114"/>
      <c r="C125" s="1094"/>
      <c r="D125" s="1052"/>
      <c r="E125" s="1188"/>
      <c r="F125" s="1223"/>
    </row>
    <row r="126" spans="1:6" s="1366" customFormat="1">
      <c r="A126" s="1320"/>
      <c r="B126" s="1058" t="s">
        <v>1519</v>
      </c>
      <c r="C126" s="1152"/>
      <c r="D126" s="1103"/>
      <c r="E126" s="1103"/>
      <c r="F126" s="1223"/>
    </row>
    <row r="127" spans="1:6" s="1366" customFormat="1">
      <c r="A127" s="1320"/>
      <c r="B127" s="1114" t="s">
        <v>1426</v>
      </c>
      <c r="C127" s="1154">
        <v>0</v>
      </c>
      <c r="D127" s="1052">
        <f t="shared" ref="D127" si="12">-C127</f>
        <v>0</v>
      </c>
      <c r="E127" s="1188">
        <f t="shared" ref="E127:E132" si="13">C127+D127</f>
        <v>0</v>
      </c>
      <c r="F127" s="1223"/>
    </row>
    <row r="128" spans="1:6" s="1366" customFormat="1">
      <c r="A128" s="1320"/>
      <c r="B128" s="1114" t="s">
        <v>1600</v>
      </c>
      <c r="C128" s="1094">
        <v>0</v>
      </c>
      <c r="D128" s="1052">
        <v>0</v>
      </c>
      <c r="E128" s="1188">
        <f t="shared" si="13"/>
        <v>0</v>
      </c>
      <c r="F128" s="1223"/>
    </row>
    <row r="129" spans="1:6" s="1366" customFormat="1">
      <c r="A129" s="1320"/>
      <c r="B129" s="1114" t="s">
        <v>1427</v>
      </c>
      <c r="C129" s="1154">
        <v>0</v>
      </c>
      <c r="D129" s="1052">
        <v>0</v>
      </c>
      <c r="E129" s="1190">
        <f t="shared" si="13"/>
        <v>0</v>
      </c>
      <c r="F129" s="1223"/>
    </row>
    <row r="130" spans="1:6" s="1366" customFormat="1">
      <c r="A130" s="1320"/>
      <c r="B130" s="1153" t="s">
        <v>93</v>
      </c>
      <c r="C130" s="1095">
        <f>SUM(C127:C129)</f>
        <v>0</v>
      </c>
      <c r="D130" s="1095">
        <f>SUM(D127:D129)</f>
        <v>0</v>
      </c>
      <c r="E130" s="1188">
        <f t="shared" si="13"/>
        <v>0</v>
      </c>
      <c r="F130" s="1223"/>
    </row>
    <row r="131" spans="1:6" s="1366" customFormat="1">
      <c r="A131" s="1320"/>
      <c r="B131" s="1114" t="s">
        <v>1672</v>
      </c>
      <c r="C131" s="1154">
        <v>0</v>
      </c>
      <c r="D131" s="1052">
        <v>0</v>
      </c>
      <c r="E131" s="1190">
        <f t="shared" si="13"/>
        <v>0</v>
      </c>
      <c r="F131" s="1223"/>
    </row>
    <row r="132" spans="1:6" s="1366" customFormat="1">
      <c r="A132" s="1320"/>
      <c r="B132" s="1282" t="s">
        <v>1504</v>
      </c>
      <c r="C132" s="1094">
        <v>0</v>
      </c>
      <c r="D132" s="1052">
        <v>0</v>
      </c>
      <c r="E132" s="1188">
        <f t="shared" si="13"/>
        <v>0</v>
      </c>
      <c r="F132" s="1223"/>
    </row>
    <row r="133" spans="1:6" s="1366" customFormat="1">
      <c r="A133" s="1320"/>
      <c r="B133" s="1114"/>
      <c r="C133" s="1094"/>
      <c r="D133" s="1052"/>
      <c r="E133" s="1188"/>
      <c r="F133" s="1223"/>
    </row>
    <row r="134" spans="1:6" s="1366" customFormat="1">
      <c r="A134" s="1320"/>
      <c r="B134" s="1058" t="s">
        <v>1673</v>
      </c>
      <c r="C134" s="1152"/>
      <c r="D134" s="1103"/>
      <c r="E134" s="1103"/>
      <c r="F134" s="1223"/>
    </row>
    <row r="135" spans="1:6" s="1366" customFormat="1">
      <c r="A135" s="1320"/>
      <c r="B135" s="1114" t="s">
        <v>1426</v>
      </c>
      <c r="C135" s="1154">
        <v>0</v>
      </c>
      <c r="D135" s="1052">
        <f t="shared" ref="D135" si="14">-C135</f>
        <v>0</v>
      </c>
      <c r="E135" s="1188">
        <f t="shared" ref="E135:E140" si="15">C135+D135</f>
        <v>0</v>
      </c>
      <c r="F135" s="1223"/>
    </row>
    <row r="136" spans="1:6" s="1366" customFormat="1">
      <c r="A136" s="1320"/>
      <c r="B136" s="1114" t="s">
        <v>1600</v>
      </c>
      <c r="C136" s="1094">
        <v>0</v>
      </c>
      <c r="D136" s="1052">
        <v>0</v>
      </c>
      <c r="E136" s="1188">
        <f t="shared" si="15"/>
        <v>0</v>
      </c>
      <c r="F136" s="1223"/>
    </row>
    <row r="137" spans="1:6" s="1366" customFormat="1">
      <c r="A137" s="1320"/>
      <c r="B137" s="1114" t="s">
        <v>1427</v>
      </c>
      <c r="C137" s="1154">
        <v>0</v>
      </c>
      <c r="D137" s="1052">
        <v>0</v>
      </c>
      <c r="E137" s="1190">
        <f t="shared" si="15"/>
        <v>0</v>
      </c>
      <c r="F137" s="1223"/>
    </row>
    <row r="138" spans="1:6" s="1366" customFormat="1">
      <c r="A138" s="1320"/>
      <c r="B138" s="1153" t="s">
        <v>93</v>
      </c>
      <c r="C138" s="1095">
        <f>SUM(C135:C137)</f>
        <v>0</v>
      </c>
      <c r="D138" s="1095">
        <f>SUM(D135:D137)</f>
        <v>0</v>
      </c>
      <c r="E138" s="1188">
        <f t="shared" si="15"/>
        <v>0</v>
      </c>
      <c r="F138" s="1223"/>
    </row>
    <row r="139" spans="1:6" s="1366" customFormat="1">
      <c r="A139" s="1320"/>
      <c r="B139" s="1114" t="s">
        <v>1672</v>
      </c>
      <c r="C139" s="1154">
        <v>0</v>
      </c>
      <c r="D139" s="1052">
        <v>0</v>
      </c>
      <c r="E139" s="1190">
        <f t="shared" si="15"/>
        <v>0</v>
      </c>
      <c r="F139" s="1223"/>
    </row>
    <row r="140" spans="1:6" s="1366" customFormat="1">
      <c r="A140" s="1320"/>
      <c r="B140" s="1282" t="s">
        <v>1512</v>
      </c>
      <c r="C140" s="1094">
        <v>0</v>
      </c>
      <c r="D140" s="1052">
        <v>0</v>
      </c>
      <c r="E140" s="1188">
        <f t="shared" si="15"/>
        <v>0</v>
      </c>
      <c r="F140" s="1223"/>
    </row>
    <row r="141" spans="1:6" s="1322" customFormat="1">
      <c r="A141" s="1320"/>
      <c r="B141" s="1114"/>
      <c r="C141" s="1094"/>
      <c r="D141" s="1052"/>
      <c r="E141" s="1188"/>
      <c r="F141" s="1223"/>
    </row>
    <row r="142" spans="1:6" s="1366" customFormat="1">
      <c r="A142" s="1320"/>
      <c r="B142" s="1058" t="s">
        <v>1520</v>
      </c>
      <c r="C142" s="1152"/>
      <c r="D142" s="1103"/>
      <c r="E142" s="1103"/>
      <c r="F142" s="1223"/>
    </row>
    <row r="143" spans="1:6" s="1366" customFormat="1">
      <c r="A143" s="1320"/>
      <c r="B143" s="1114" t="s">
        <v>1426</v>
      </c>
      <c r="C143" s="1154">
        <v>0</v>
      </c>
      <c r="D143" s="1052">
        <f t="shared" ref="D143" si="16">-C143</f>
        <v>0</v>
      </c>
      <c r="E143" s="1188">
        <f t="shared" ref="E143:E148" si="17">C143+D143</f>
        <v>0</v>
      </c>
      <c r="F143" s="1223"/>
    </row>
    <row r="144" spans="1:6" s="1366" customFormat="1">
      <c r="A144" s="1320"/>
      <c r="B144" s="1114" t="s">
        <v>1601</v>
      </c>
      <c r="C144" s="1094">
        <v>0</v>
      </c>
      <c r="D144" s="1052">
        <v>0</v>
      </c>
      <c r="E144" s="1188">
        <f t="shared" si="17"/>
        <v>0</v>
      </c>
      <c r="F144" s="1223"/>
    </row>
    <row r="145" spans="1:6" s="1366" customFormat="1">
      <c r="A145" s="1320"/>
      <c r="B145" s="1114" t="s">
        <v>1427</v>
      </c>
      <c r="C145" s="1154">
        <v>0</v>
      </c>
      <c r="D145" s="1052">
        <v>0</v>
      </c>
      <c r="E145" s="1190">
        <f t="shared" si="17"/>
        <v>0</v>
      </c>
      <c r="F145" s="1223"/>
    </row>
    <row r="146" spans="1:6" s="1366" customFormat="1">
      <c r="A146" s="1320"/>
      <c r="B146" s="1153" t="s">
        <v>93</v>
      </c>
      <c r="C146" s="1095">
        <f>SUM(C143:C145)</f>
        <v>0</v>
      </c>
      <c r="D146" s="1095">
        <f>SUM(D143:D145)</f>
        <v>0</v>
      </c>
      <c r="E146" s="1188">
        <f t="shared" si="17"/>
        <v>0</v>
      </c>
      <c r="F146" s="1223"/>
    </row>
    <row r="147" spans="1:6" s="1366" customFormat="1">
      <c r="A147" s="1320"/>
      <c r="B147" s="1114" t="s">
        <v>1672</v>
      </c>
      <c r="C147" s="1154">
        <v>0</v>
      </c>
      <c r="D147" s="1052">
        <v>0</v>
      </c>
      <c r="E147" s="1190">
        <f t="shared" si="17"/>
        <v>0</v>
      </c>
      <c r="F147" s="1223"/>
    </row>
    <row r="148" spans="1:6" s="1366" customFormat="1">
      <c r="A148" s="1320"/>
      <c r="B148" s="1282" t="s">
        <v>1513</v>
      </c>
      <c r="C148" s="1094">
        <v>0</v>
      </c>
      <c r="D148" s="1052">
        <v>0</v>
      </c>
      <c r="E148" s="1188">
        <f t="shared" si="17"/>
        <v>0</v>
      </c>
      <c r="F148" s="1223"/>
    </row>
    <row r="149" spans="1:6" s="1366" customFormat="1">
      <c r="A149" s="1320"/>
      <c r="B149" s="1114"/>
      <c r="C149" s="1094"/>
      <c r="D149" s="1052"/>
      <c r="E149" s="1188"/>
      <c r="F149" s="1223"/>
    </row>
    <row r="150" spans="1:6" s="1230" customFormat="1">
      <c r="A150" s="1320"/>
      <c r="B150" s="1115"/>
      <c r="C150" s="1155"/>
      <c r="D150" s="1082">
        <v>0</v>
      </c>
      <c r="E150" s="1148"/>
      <c r="F150" s="1223"/>
    </row>
    <row r="151" spans="1:6" s="1230" customFormat="1">
      <c r="A151" s="1320"/>
      <c r="B151" s="1102" t="s">
        <v>860</v>
      </c>
      <c r="C151" s="1157">
        <f>C90+C100+C108+C116+C124+C132+C140+C148</f>
        <v>0</v>
      </c>
      <c r="D151" s="1157">
        <f>D90+D100+D108+D116+D124+D132+D140+D148</f>
        <v>0</v>
      </c>
      <c r="E151" s="1157">
        <f>C151+D151</f>
        <v>0</v>
      </c>
      <c r="F151" s="1223"/>
    </row>
    <row r="152" spans="1:6" s="1230" customFormat="1">
      <c r="A152" s="1320"/>
      <c r="B152" s="1201"/>
      <c r="C152" s="1201"/>
      <c r="D152" s="1040"/>
      <c r="E152" s="1201"/>
      <c r="F152" s="1223"/>
    </row>
    <row r="153" spans="1:6" s="1230" customFormat="1" ht="31.5" customHeight="1">
      <c r="A153" s="1396"/>
      <c r="B153" s="1573" t="s">
        <v>1701</v>
      </c>
      <c r="C153" s="1573"/>
      <c r="D153" s="1573"/>
      <c r="E153" s="1573"/>
    </row>
    <row r="154" spans="1:6" s="1230" customFormat="1">
      <c r="A154" s="1124"/>
      <c r="B154" s="1229"/>
      <c r="C154" s="1229"/>
      <c r="D154" s="1229"/>
      <c r="E154" s="1229"/>
    </row>
    <row r="155" spans="1:6" s="1230" customFormat="1">
      <c r="A155" s="1124">
        <f>A82+1</f>
        <v>8</v>
      </c>
      <c r="B155" s="1258" t="s">
        <v>1680</v>
      </c>
      <c r="C155" s="1253"/>
      <c r="D155" s="1253"/>
      <c r="E155" s="1253"/>
    </row>
    <row r="156" spans="1:6" s="1230" customFormat="1">
      <c r="A156" s="1124"/>
      <c r="B156" s="1258"/>
      <c r="C156" s="1253"/>
      <c r="D156" s="1253"/>
      <c r="E156" s="1253"/>
    </row>
    <row r="157" spans="1:6" s="1306" customFormat="1">
      <c r="A157" s="1124"/>
      <c r="B157" s="1057" t="s">
        <v>77</v>
      </c>
      <c r="C157" s="1319">
        <v>42460</v>
      </c>
      <c r="D157" s="1309" t="s">
        <v>1410</v>
      </c>
      <c r="E157" s="1308" t="s">
        <v>1474</v>
      </c>
    </row>
    <row r="158" spans="1:6" s="1230" customFormat="1">
      <c r="A158" s="1124"/>
      <c r="B158" s="1058"/>
      <c r="C158" s="1061"/>
      <c r="D158" s="1063"/>
      <c r="E158" s="1068"/>
    </row>
    <row r="159" spans="1:6" s="1322" customFormat="1">
      <c r="A159" s="1124"/>
      <c r="B159" s="1358" t="s">
        <v>1508</v>
      </c>
      <c r="C159" s="1239"/>
      <c r="D159" s="1068"/>
      <c r="E159" s="1068"/>
    </row>
    <row r="160" spans="1:6" s="1322" customFormat="1">
      <c r="A160" s="1124"/>
      <c r="B160" s="1194" t="s">
        <v>1509</v>
      </c>
      <c r="C160" s="1239"/>
      <c r="D160" s="1068"/>
      <c r="E160" s="1068"/>
    </row>
    <row r="161" spans="1:5" s="1230" customFormat="1">
      <c r="A161" s="1124"/>
      <c r="B161" s="1196" t="s">
        <v>1684</v>
      </c>
      <c r="C161" s="1094">
        <v>0</v>
      </c>
      <c r="D161" s="1259">
        <v>0</v>
      </c>
      <c r="E161" s="1129">
        <f>C161+D161</f>
        <v>0</v>
      </c>
    </row>
    <row r="162" spans="1:5" s="1322" customFormat="1">
      <c r="A162" s="1124"/>
      <c r="B162" s="1196" t="s">
        <v>1510</v>
      </c>
      <c r="C162" s="1094">
        <v>0</v>
      </c>
      <c r="D162" s="1259">
        <v>0</v>
      </c>
      <c r="E162" s="1129">
        <f>C162+D162</f>
        <v>0</v>
      </c>
    </row>
    <row r="163" spans="1:5" s="1230" customFormat="1">
      <c r="A163" s="1124"/>
      <c r="B163" s="1085"/>
      <c r="C163" s="1155"/>
      <c r="D163" s="1082"/>
      <c r="E163" s="1148"/>
    </row>
    <row r="164" spans="1:5">
      <c r="B164" s="1260" t="s">
        <v>860</v>
      </c>
      <c r="C164" s="1156"/>
      <c r="D164" s="1156">
        <f>SUM(D161:D163)</f>
        <v>0</v>
      </c>
      <c r="E164" s="1156">
        <f>SUM(E161:E163)</f>
        <v>0</v>
      </c>
    </row>
    <row r="165" spans="1:5" s="1230" customFormat="1">
      <c r="A165" s="1124"/>
      <c r="B165" s="1240"/>
      <c r="C165" s="1193"/>
      <c r="D165" s="1193"/>
      <c r="E165" s="1193"/>
    </row>
    <row r="166" spans="1:5" s="1230" customFormat="1">
      <c r="A166" s="1124"/>
      <c r="B166" s="1573" t="s">
        <v>1438</v>
      </c>
      <c r="C166" s="1573"/>
      <c r="D166" s="1573"/>
      <c r="E166" s="1573"/>
    </row>
    <row r="167" spans="1:5" s="1230" customFormat="1">
      <c r="A167" s="1124"/>
      <c r="B167" s="1240"/>
      <c r="C167" s="1193"/>
      <c r="D167" s="1193"/>
      <c r="E167" s="1193"/>
    </row>
    <row r="168" spans="1:5" s="1230" customFormat="1">
      <c r="A168" s="1124"/>
      <c r="B168" s="1240"/>
      <c r="C168" s="1193"/>
      <c r="D168" s="1193"/>
      <c r="E168" s="1193"/>
    </row>
    <row r="169" spans="1:5" ht="19.5" customHeight="1">
      <c r="A169" s="1124">
        <f>A155+1</f>
        <v>9</v>
      </c>
      <c r="B169" s="1576" t="s">
        <v>1642</v>
      </c>
      <c r="C169" s="1572"/>
    </row>
    <row r="170" spans="1:5">
      <c r="D170" s="1201"/>
      <c r="E170" s="1105" t="s">
        <v>1471</v>
      </c>
    </row>
    <row r="171" spans="1:5" s="1306" customFormat="1">
      <c r="A171" s="1124"/>
      <c r="B171" s="1067" t="s">
        <v>77</v>
      </c>
      <c r="C171" s="1319">
        <v>42460</v>
      </c>
      <c r="D171" s="1309" t="s">
        <v>1287</v>
      </c>
      <c r="E171" s="1308" t="s">
        <v>1474</v>
      </c>
    </row>
    <row r="172" spans="1:5">
      <c r="B172" s="1210" t="s">
        <v>1643</v>
      </c>
      <c r="C172" s="1065">
        <v>0</v>
      </c>
      <c r="D172" s="1065">
        <v>0</v>
      </c>
      <c r="E172" s="1129">
        <f>SUM(C172:D172)</f>
        <v>0</v>
      </c>
    </row>
    <row r="173" spans="1:5">
      <c r="B173" s="1393" t="s">
        <v>1641</v>
      </c>
      <c r="C173" s="1065">
        <v>0</v>
      </c>
      <c r="D173" s="1065">
        <v>0</v>
      </c>
      <c r="E173" s="1129">
        <f>SUM(C173:D173)</f>
        <v>0</v>
      </c>
    </row>
    <row r="174" spans="1:5">
      <c r="B174" s="1210" t="s">
        <v>1644</v>
      </c>
      <c r="C174" s="1065">
        <v>0</v>
      </c>
      <c r="D174" s="1065">
        <v>0</v>
      </c>
      <c r="E174" s="1129">
        <f t="shared" ref="E174:E175" si="18">SUM(C174:D174)</f>
        <v>0</v>
      </c>
    </row>
    <row r="175" spans="1:5">
      <c r="B175" s="1393" t="s">
        <v>1645</v>
      </c>
      <c r="C175" s="1066">
        <v>0</v>
      </c>
      <c r="D175" s="1065">
        <v>0</v>
      </c>
      <c r="E175" s="1159">
        <f t="shared" si="18"/>
        <v>0</v>
      </c>
    </row>
    <row r="176" spans="1:5">
      <c r="B176" s="1271" t="s">
        <v>860</v>
      </c>
      <c r="C176" s="1060">
        <f>SUM(C172:C175)</f>
        <v>0</v>
      </c>
      <c r="D176" s="1156">
        <f>SUM(D172:D175)</f>
        <v>0</v>
      </c>
      <c r="E176" s="1208">
        <f t="shared" ref="E176" si="19">SUM(E172:E175)</f>
        <v>0</v>
      </c>
    </row>
    <row r="178" spans="1:5">
      <c r="A178" s="1124">
        <f>A169+1</f>
        <v>10</v>
      </c>
      <c r="B178" s="1041" t="s">
        <v>1357</v>
      </c>
    </row>
    <row r="179" spans="1:5">
      <c r="B179" s="1041"/>
      <c r="D179" s="1201"/>
      <c r="E179" s="1105" t="s">
        <v>1471</v>
      </c>
    </row>
    <row r="180" spans="1:5" s="1306" customFormat="1">
      <c r="A180" s="1124"/>
      <c r="B180" s="1057" t="s">
        <v>77</v>
      </c>
      <c r="C180" s="1319">
        <v>42460</v>
      </c>
      <c r="D180" s="1368" t="s">
        <v>1410</v>
      </c>
      <c r="E180" s="1369" t="s">
        <v>1474</v>
      </c>
    </row>
    <row r="181" spans="1:5">
      <c r="B181" s="1072"/>
      <c r="C181" s="1150"/>
      <c r="D181" s="1103"/>
      <c r="E181" s="1163"/>
    </row>
    <row r="182" spans="1:5">
      <c r="B182" s="1078" t="s">
        <v>1502</v>
      </c>
      <c r="C182" s="1080"/>
      <c r="D182" s="1052"/>
      <c r="E182" s="1080"/>
    </row>
    <row r="183" spans="1:5">
      <c r="B183" s="1073" t="s">
        <v>1705</v>
      </c>
      <c r="C183" s="1094">
        <v>0</v>
      </c>
      <c r="D183" s="1052">
        <v>0</v>
      </c>
      <c r="E183" s="1094">
        <f>SUM(C183:D183)</f>
        <v>0</v>
      </c>
    </row>
    <row r="184" spans="1:5">
      <c r="B184" s="1073" t="s">
        <v>1704</v>
      </c>
      <c r="C184" s="1094">
        <v>0</v>
      </c>
      <c r="D184" s="1052">
        <f>-C184</f>
        <v>0</v>
      </c>
      <c r="E184" s="1094">
        <f t="shared" ref="E184:E185" si="20">SUM(C184:D184)</f>
        <v>0</v>
      </c>
    </row>
    <row r="185" spans="1:5">
      <c r="B185" s="1073" t="s">
        <v>1352</v>
      </c>
      <c r="C185" s="1155">
        <v>0</v>
      </c>
      <c r="D185" s="1066">
        <f>-C185</f>
        <v>0</v>
      </c>
      <c r="E185" s="1155">
        <f t="shared" si="20"/>
        <v>0</v>
      </c>
    </row>
    <row r="186" spans="1:5">
      <c r="B186" s="1091" t="s">
        <v>93</v>
      </c>
      <c r="C186" s="1052">
        <f>SUM(C183:C185)</f>
        <v>0</v>
      </c>
      <c r="D186" s="1052">
        <f>SUM(D183:D185)</f>
        <v>0</v>
      </c>
      <c r="E186" s="1094">
        <v>0</v>
      </c>
    </row>
    <row r="187" spans="1:5">
      <c r="B187" s="1423" t="s">
        <v>1670</v>
      </c>
      <c r="C187" s="1155">
        <v>0</v>
      </c>
      <c r="D187" s="1066">
        <f>C187</f>
        <v>0</v>
      </c>
      <c r="E187" s="1155"/>
    </row>
    <row r="188" spans="1:5">
      <c r="B188" s="1153" t="s">
        <v>1424</v>
      </c>
      <c r="C188" s="1094">
        <f>C186-C187</f>
        <v>0</v>
      </c>
      <c r="D188" s="1052">
        <f>D186+D187</f>
        <v>0</v>
      </c>
      <c r="E188" s="1094">
        <f>SUM(C188:D188)</f>
        <v>0</v>
      </c>
    </row>
    <row r="189" spans="1:5" s="1230" customFormat="1">
      <c r="A189" s="1124"/>
      <c r="B189" s="1073"/>
      <c r="C189" s="1094"/>
      <c r="D189" s="1052"/>
      <c r="E189" s="1094"/>
    </row>
    <row r="190" spans="1:5" s="1230" customFormat="1">
      <c r="A190" s="1124"/>
      <c r="B190" s="1112" t="s">
        <v>1709</v>
      </c>
      <c r="C190" s="1080"/>
      <c r="D190" s="1052"/>
      <c r="E190" s="1364"/>
    </row>
    <row r="191" spans="1:5" s="1230" customFormat="1">
      <c r="A191" s="1124"/>
      <c r="B191" s="1114" t="s">
        <v>1702</v>
      </c>
      <c r="C191" s="1065">
        <v>0</v>
      </c>
      <c r="D191" s="1052">
        <v>0</v>
      </c>
      <c r="E191" s="1188">
        <f>C191-D191</f>
        <v>0</v>
      </c>
    </row>
    <row r="192" spans="1:5" s="1230" customFormat="1">
      <c r="A192" s="1124"/>
      <c r="B192" s="1114" t="s">
        <v>1703</v>
      </c>
      <c r="C192" s="1246">
        <v>0</v>
      </c>
      <c r="D192" s="1094">
        <f>-D90</f>
        <v>0</v>
      </c>
      <c r="E192" s="1188">
        <f>C192+D192</f>
        <v>0</v>
      </c>
    </row>
    <row r="193" spans="1:5" s="1230" customFormat="1">
      <c r="A193" s="1124"/>
      <c r="B193" s="1114" t="s">
        <v>88</v>
      </c>
      <c r="C193" s="1246">
        <v>0</v>
      </c>
      <c r="D193" s="1065">
        <v>0</v>
      </c>
      <c r="E193" s="1190">
        <f>C193+D193</f>
        <v>0</v>
      </c>
    </row>
    <row r="194" spans="1:5" s="1230" customFormat="1">
      <c r="A194" s="1124"/>
      <c r="B194" s="1153" t="s">
        <v>1425</v>
      </c>
      <c r="C194" s="1247">
        <v>0</v>
      </c>
      <c r="D194" s="1095">
        <f>SUM(D191:D193)</f>
        <v>0</v>
      </c>
      <c r="E194" s="1129">
        <f>SUM(E191:E193)</f>
        <v>0</v>
      </c>
    </row>
    <row r="195" spans="1:5" s="1230" customFormat="1">
      <c r="A195" s="1124"/>
      <c r="B195" s="1114"/>
      <c r="C195" s="1094"/>
      <c r="D195" s="1052"/>
      <c r="E195" s="1364"/>
    </row>
    <row r="196" spans="1:5" s="1230" customFormat="1">
      <c r="A196" s="1124"/>
      <c r="B196" s="1112" t="s">
        <v>1710</v>
      </c>
      <c r="C196" s="1094"/>
      <c r="D196" s="1052"/>
      <c r="E196" s="1364"/>
    </row>
    <row r="197" spans="1:5" s="1230" customFormat="1">
      <c r="A197" s="1124"/>
      <c r="B197" s="1114" t="s">
        <v>1338</v>
      </c>
      <c r="C197" s="1065">
        <v>0</v>
      </c>
      <c r="D197" s="1065"/>
      <c r="E197" s="1188">
        <f>C197+D197</f>
        <v>0</v>
      </c>
    </row>
    <row r="198" spans="1:5" s="1230" customFormat="1">
      <c r="A198" s="1124"/>
      <c r="B198" s="1114" t="s">
        <v>1428</v>
      </c>
      <c r="C198" s="1065">
        <v>0</v>
      </c>
      <c r="D198" s="1065"/>
      <c r="E198" s="1188">
        <f t="shared" ref="E198:E202" si="21">C198+D198</f>
        <v>0</v>
      </c>
    </row>
    <row r="199" spans="1:5" s="1230" customFormat="1">
      <c r="A199" s="1124"/>
      <c r="B199" s="1114" t="s">
        <v>1429</v>
      </c>
      <c r="C199" s="1065">
        <v>0</v>
      </c>
      <c r="D199" s="1065"/>
      <c r="E199" s="1188">
        <f t="shared" si="21"/>
        <v>0</v>
      </c>
    </row>
    <row r="200" spans="1:5" s="1230" customFormat="1">
      <c r="A200" s="1124"/>
      <c r="B200" s="1153" t="s">
        <v>93</v>
      </c>
      <c r="C200" s="1065">
        <v>0</v>
      </c>
      <c r="D200" s="1096">
        <f>SUM(D197:D199)</f>
        <v>0</v>
      </c>
      <c r="E200" s="1189">
        <f t="shared" si="21"/>
        <v>0</v>
      </c>
    </row>
    <row r="201" spans="1:5" s="1230" customFormat="1">
      <c r="A201" s="1124"/>
      <c r="B201" s="1114" t="s">
        <v>1672</v>
      </c>
      <c r="C201" s="1065">
        <v>0</v>
      </c>
      <c r="D201" s="1065"/>
      <c r="E201" s="1188">
        <f t="shared" si="21"/>
        <v>0</v>
      </c>
    </row>
    <row r="202" spans="1:5" s="1230" customFormat="1">
      <c r="A202" s="1124"/>
      <c r="B202" s="1248" t="s">
        <v>1430</v>
      </c>
      <c r="C202" s="1065">
        <v>0</v>
      </c>
      <c r="D202" s="1095">
        <f>+D200-D201</f>
        <v>0</v>
      </c>
      <c r="E202" s="1189">
        <f t="shared" si="21"/>
        <v>0</v>
      </c>
    </row>
    <row r="203" spans="1:5" s="1230" customFormat="1">
      <c r="A203" s="1124"/>
      <c r="B203" s="1114"/>
      <c r="C203" s="1094"/>
      <c r="D203" s="1052"/>
      <c r="E203" s="1364"/>
    </row>
    <row r="204" spans="1:5" s="1230" customFormat="1">
      <c r="A204" s="1124"/>
      <c r="B204" s="1112" t="s">
        <v>1711</v>
      </c>
      <c r="C204" s="1094"/>
      <c r="D204" s="1052"/>
      <c r="E204" s="1364"/>
    </row>
    <row r="205" spans="1:5" s="1230" customFormat="1">
      <c r="A205" s="1124"/>
      <c r="B205" s="1114" t="s">
        <v>1426</v>
      </c>
      <c r="C205" s="1154">
        <v>0</v>
      </c>
      <c r="D205" s="1052">
        <v>0</v>
      </c>
      <c r="E205" s="1188">
        <f>C205+D205</f>
        <v>0</v>
      </c>
    </row>
    <row r="206" spans="1:5" s="1230" customFormat="1">
      <c r="A206" s="1124"/>
      <c r="B206" s="1114" t="s">
        <v>1600</v>
      </c>
      <c r="C206" s="1154">
        <v>0</v>
      </c>
      <c r="D206" s="1094"/>
      <c r="E206" s="1188">
        <f t="shared" ref="E206:E210" si="22">C206+D206</f>
        <v>0</v>
      </c>
    </row>
    <row r="207" spans="1:5" s="1230" customFormat="1">
      <c r="A207" s="1124"/>
      <c r="B207" s="1114" t="s">
        <v>1427</v>
      </c>
      <c r="C207" s="1154">
        <v>0</v>
      </c>
      <c r="D207" s="1154"/>
      <c r="E207" s="1188">
        <f t="shared" si="22"/>
        <v>0</v>
      </c>
    </row>
    <row r="208" spans="1:5" s="1230" customFormat="1">
      <c r="A208" s="1124"/>
      <c r="B208" s="1153" t="s">
        <v>93</v>
      </c>
      <c r="C208" s="1154">
        <v>0</v>
      </c>
      <c r="D208" s="1095">
        <f>SUM(D205:D207)</f>
        <v>0</v>
      </c>
      <c r="E208" s="1189">
        <f t="shared" si="22"/>
        <v>0</v>
      </c>
    </row>
    <row r="209" spans="1:5" s="1230" customFormat="1">
      <c r="A209" s="1124"/>
      <c r="B209" s="1114" t="s">
        <v>1672</v>
      </c>
      <c r="C209" s="1154">
        <v>0</v>
      </c>
      <c r="D209" s="1154"/>
      <c r="E209" s="1188">
        <f t="shared" si="22"/>
        <v>0</v>
      </c>
    </row>
    <row r="210" spans="1:5" s="1230" customFormat="1">
      <c r="A210" s="1124"/>
      <c r="B210" s="1153" t="s">
        <v>1431</v>
      </c>
      <c r="C210" s="1154">
        <v>0</v>
      </c>
      <c r="D210" s="1095">
        <f>+D208-D209</f>
        <v>0</v>
      </c>
      <c r="E210" s="1189">
        <f t="shared" si="22"/>
        <v>0</v>
      </c>
    </row>
    <row r="211" spans="1:5" s="1322" customFormat="1">
      <c r="A211" s="1124"/>
      <c r="B211" s="1153"/>
      <c r="C211" s="1154"/>
      <c r="D211" s="1129"/>
      <c r="E211" s="1188"/>
    </row>
    <row r="212" spans="1:5" s="1322" customFormat="1">
      <c r="A212" s="1124"/>
      <c r="B212" s="1112" t="s">
        <v>1712</v>
      </c>
      <c r="C212" s="1154"/>
      <c r="D212" s="1129"/>
      <c r="E212" s="1188"/>
    </row>
    <row r="213" spans="1:5" s="1322" customFormat="1">
      <c r="A213" s="1124"/>
      <c r="B213" s="1114" t="s">
        <v>1426</v>
      </c>
      <c r="C213" s="1154">
        <v>0</v>
      </c>
      <c r="D213" s="1052">
        <v>0</v>
      </c>
      <c r="E213" s="1188">
        <f>C213+D213</f>
        <v>0</v>
      </c>
    </row>
    <row r="214" spans="1:5" s="1322" customFormat="1">
      <c r="A214" s="1124"/>
      <c r="B214" s="1114" t="s">
        <v>1600</v>
      </c>
      <c r="C214" s="1154">
        <v>0</v>
      </c>
      <c r="D214" s="1094"/>
      <c r="E214" s="1188">
        <f t="shared" ref="E214:E218" si="23">C214+D214</f>
        <v>0</v>
      </c>
    </row>
    <row r="215" spans="1:5" s="1322" customFormat="1">
      <c r="A215" s="1124"/>
      <c r="B215" s="1114" t="s">
        <v>1427</v>
      </c>
      <c r="C215" s="1154">
        <v>0</v>
      </c>
      <c r="D215" s="1154"/>
      <c r="E215" s="1188">
        <f t="shared" si="23"/>
        <v>0</v>
      </c>
    </row>
    <row r="216" spans="1:5" s="1322" customFormat="1">
      <c r="A216" s="1124"/>
      <c r="B216" s="1153" t="s">
        <v>93</v>
      </c>
      <c r="C216" s="1154">
        <v>0</v>
      </c>
      <c r="D216" s="1095">
        <f>SUM(D213:D215)</f>
        <v>0</v>
      </c>
      <c r="E216" s="1189">
        <f t="shared" si="23"/>
        <v>0</v>
      </c>
    </row>
    <row r="217" spans="1:5" s="1322" customFormat="1">
      <c r="A217" s="1124"/>
      <c r="B217" s="1114" t="s">
        <v>1672</v>
      </c>
      <c r="C217" s="1154">
        <v>0</v>
      </c>
      <c r="D217" s="1154"/>
      <c r="E217" s="1188">
        <f t="shared" si="23"/>
        <v>0</v>
      </c>
    </row>
    <row r="218" spans="1:5" s="1322" customFormat="1">
      <c r="A218" s="1124"/>
      <c r="B218" s="1153" t="s">
        <v>1503</v>
      </c>
      <c r="C218" s="1154">
        <v>0</v>
      </c>
      <c r="D218" s="1095">
        <f>+D216-D217</f>
        <v>0</v>
      </c>
      <c r="E218" s="1189">
        <f t="shared" si="23"/>
        <v>0</v>
      </c>
    </row>
    <row r="219" spans="1:5" s="1322" customFormat="1">
      <c r="A219" s="1124"/>
      <c r="B219" s="1153"/>
      <c r="C219" s="1154"/>
      <c r="D219" s="1129"/>
      <c r="E219" s="1188"/>
    </row>
    <row r="220" spans="1:5" s="1322" customFormat="1">
      <c r="A220" s="1124"/>
      <c r="B220" s="1358" t="s">
        <v>1521</v>
      </c>
      <c r="C220" s="1154"/>
      <c r="D220" s="1129"/>
      <c r="E220" s="1188"/>
    </row>
    <row r="221" spans="1:5" s="1366" customFormat="1">
      <c r="A221" s="1124"/>
      <c r="B221" s="1196" t="s">
        <v>1508</v>
      </c>
      <c r="C221" s="1154">
        <v>0</v>
      </c>
      <c r="D221" s="1052">
        <v>0</v>
      </c>
      <c r="E221" s="1188">
        <f>C221+D221</f>
        <v>0</v>
      </c>
    </row>
    <row r="222" spans="1:5" s="1322" customFormat="1">
      <c r="A222" s="1124"/>
      <c r="B222" s="1194" t="s">
        <v>1509</v>
      </c>
      <c r="C222" s="1154">
        <v>0</v>
      </c>
      <c r="D222" s="1094"/>
      <c r="E222" s="1188">
        <f t="shared" ref="E222:E227" si="24">C222+D222</f>
        <v>0</v>
      </c>
    </row>
    <row r="223" spans="1:5" s="1322" customFormat="1">
      <c r="A223" s="1124"/>
      <c r="B223" s="1196" t="s">
        <v>1683</v>
      </c>
      <c r="C223" s="1154">
        <v>0</v>
      </c>
      <c r="D223" s="1094"/>
      <c r="E223" s="1188">
        <f t="shared" si="24"/>
        <v>0</v>
      </c>
    </row>
    <row r="224" spans="1:5" s="1322" customFormat="1">
      <c r="A224" s="1124"/>
      <c r="B224" s="1196" t="s">
        <v>1510</v>
      </c>
      <c r="C224" s="1154">
        <v>0</v>
      </c>
      <c r="D224" s="1154"/>
      <c r="E224" s="1188">
        <f t="shared" si="24"/>
        <v>0</v>
      </c>
    </row>
    <row r="225" spans="1:5" s="1322" customFormat="1">
      <c r="A225" s="1124"/>
      <c r="B225" s="1194" t="s">
        <v>1511</v>
      </c>
      <c r="C225" s="1154">
        <v>0</v>
      </c>
      <c r="D225" s="1095">
        <f>SUM(D221:D224)</f>
        <v>0</v>
      </c>
      <c r="E225" s="1189">
        <f t="shared" si="24"/>
        <v>0</v>
      </c>
    </row>
    <row r="226" spans="1:5" s="1322" customFormat="1">
      <c r="A226" s="1124"/>
      <c r="B226" s="1196" t="s">
        <v>1683</v>
      </c>
      <c r="C226" s="1154">
        <v>0</v>
      </c>
      <c r="D226" s="1154"/>
      <c r="E226" s="1188">
        <f t="shared" si="24"/>
        <v>0</v>
      </c>
    </row>
    <row r="227" spans="1:5" s="1322" customFormat="1">
      <c r="A227" s="1124"/>
      <c r="B227" s="1196" t="s">
        <v>1510</v>
      </c>
      <c r="C227" s="1154">
        <v>0</v>
      </c>
      <c r="D227" s="1095">
        <f>+D225-D226</f>
        <v>0</v>
      </c>
      <c r="E227" s="1189">
        <f t="shared" si="24"/>
        <v>0</v>
      </c>
    </row>
    <row r="228" spans="1:5" s="1322" customFormat="1">
      <c r="A228" s="1124"/>
      <c r="B228" s="1153" t="s">
        <v>1504</v>
      </c>
      <c r="C228" s="1154"/>
      <c r="D228" s="1129"/>
      <c r="E228" s="1188"/>
    </row>
    <row r="229" spans="1:5" s="1322" customFormat="1">
      <c r="A229" s="1124"/>
      <c r="B229" s="1153"/>
      <c r="C229" s="1154"/>
      <c r="D229" s="1129"/>
      <c r="E229" s="1188"/>
    </row>
    <row r="230" spans="1:5" s="1322" customFormat="1">
      <c r="A230" s="1124"/>
      <c r="B230" s="1112" t="s">
        <v>1713</v>
      </c>
      <c r="C230" s="1154"/>
      <c r="D230" s="1129"/>
      <c r="E230" s="1188"/>
    </row>
    <row r="231" spans="1:5" s="1322" customFormat="1">
      <c r="A231" s="1124"/>
      <c r="B231" s="1114" t="s">
        <v>1426</v>
      </c>
      <c r="C231" s="1154">
        <v>0</v>
      </c>
      <c r="D231" s="1052">
        <v>0</v>
      </c>
      <c r="E231" s="1188">
        <f>C231+D231</f>
        <v>0</v>
      </c>
    </row>
    <row r="232" spans="1:5" s="1322" customFormat="1">
      <c r="A232" s="1124"/>
      <c r="B232" s="1114" t="s">
        <v>1600</v>
      </c>
      <c r="C232" s="1154">
        <v>0</v>
      </c>
      <c r="D232" s="1094"/>
      <c r="E232" s="1188">
        <f t="shared" ref="E232:E236" si="25">C232+D232</f>
        <v>0</v>
      </c>
    </row>
    <row r="233" spans="1:5" s="1322" customFormat="1">
      <c r="A233" s="1124"/>
      <c r="B233" s="1114" t="s">
        <v>1427</v>
      </c>
      <c r="C233" s="1154">
        <v>0</v>
      </c>
      <c r="D233" s="1154"/>
      <c r="E233" s="1188">
        <f t="shared" si="25"/>
        <v>0</v>
      </c>
    </row>
    <row r="234" spans="1:5" s="1322" customFormat="1">
      <c r="A234" s="1124"/>
      <c r="B234" s="1153" t="s">
        <v>93</v>
      </c>
      <c r="C234" s="1154">
        <v>0</v>
      </c>
      <c r="D234" s="1095">
        <f>SUM(D231:D233)</f>
        <v>0</v>
      </c>
      <c r="E234" s="1189">
        <f t="shared" si="25"/>
        <v>0</v>
      </c>
    </row>
    <row r="235" spans="1:5" s="1322" customFormat="1">
      <c r="A235" s="1124"/>
      <c r="B235" s="1114" t="s">
        <v>1672</v>
      </c>
      <c r="C235" s="1154">
        <v>0</v>
      </c>
      <c r="D235" s="1154"/>
      <c r="E235" s="1188">
        <f t="shared" si="25"/>
        <v>0</v>
      </c>
    </row>
    <row r="236" spans="1:5" s="1322" customFormat="1">
      <c r="A236" s="1124"/>
      <c r="B236" s="1153" t="s">
        <v>1512</v>
      </c>
      <c r="C236" s="1154">
        <v>0</v>
      </c>
      <c r="D236" s="1095">
        <f>+D234-D235</f>
        <v>0</v>
      </c>
      <c r="E236" s="1189">
        <f t="shared" si="25"/>
        <v>0</v>
      </c>
    </row>
    <row r="237" spans="1:5" s="1322" customFormat="1">
      <c r="A237" s="1124"/>
      <c r="B237" s="1153"/>
      <c r="C237" s="1154"/>
      <c r="D237" s="1129"/>
      <c r="E237" s="1188"/>
    </row>
    <row r="238" spans="1:5" s="1322" customFormat="1">
      <c r="A238" s="1124"/>
      <c r="B238" s="1112" t="s">
        <v>1714</v>
      </c>
      <c r="C238" s="1154"/>
      <c r="D238" s="1129"/>
      <c r="E238" s="1188"/>
    </row>
    <row r="239" spans="1:5" s="1322" customFormat="1">
      <c r="A239" s="1124"/>
      <c r="B239" s="1114" t="s">
        <v>1426</v>
      </c>
      <c r="C239" s="1154">
        <v>0</v>
      </c>
      <c r="D239" s="1052">
        <v>0</v>
      </c>
      <c r="E239" s="1188">
        <f>C239+D239</f>
        <v>0</v>
      </c>
    </row>
    <row r="240" spans="1:5" s="1322" customFormat="1">
      <c r="A240" s="1124"/>
      <c r="B240" s="1114" t="s">
        <v>1600</v>
      </c>
      <c r="C240" s="1154">
        <v>0</v>
      </c>
      <c r="D240" s="1094"/>
      <c r="E240" s="1188">
        <f t="shared" ref="E240:E244" si="26">C240+D240</f>
        <v>0</v>
      </c>
    </row>
    <row r="241" spans="1:5" s="1322" customFormat="1">
      <c r="A241" s="1124"/>
      <c r="B241" s="1114" t="s">
        <v>1427</v>
      </c>
      <c r="C241" s="1154">
        <v>0</v>
      </c>
      <c r="D241" s="1154"/>
      <c r="E241" s="1188">
        <f t="shared" si="26"/>
        <v>0</v>
      </c>
    </row>
    <row r="242" spans="1:5" s="1322" customFormat="1">
      <c r="A242" s="1124"/>
      <c r="B242" s="1153" t="s">
        <v>93</v>
      </c>
      <c r="C242" s="1154">
        <v>0</v>
      </c>
      <c r="D242" s="1095">
        <f>SUM(D239:D241)</f>
        <v>0</v>
      </c>
      <c r="E242" s="1189">
        <f t="shared" si="26"/>
        <v>0</v>
      </c>
    </row>
    <row r="243" spans="1:5" s="1322" customFormat="1">
      <c r="A243" s="1124"/>
      <c r="B243" s="1114" t="s">
        <v>1672</v>
      </c>
      <c r="C243" s="1154">
        <v>0</v>
      </c>
      <c r="D243" s="1154"/>
      <c r="E243" s="1188">
        <f t="shared" si="26"/>
        <v>0</v>
      </c>
    </row>
    <row r="244" spans="1:5" s="1322" customFormat="1">
      <c r="A244" s="1124"/>
      <c r="B244" s="1363"/>
      <c r="C244" s="1370">
        <v>0</v>
      </c>
      <c r="D244" s="1095">
        <f>+D242-D243</f>
        <v>0</v>
      </c>
      <c r="E244" s="1371">
        <f t="shared" si="26"/>
        <v>0</v>
      </c>
    </row>
    <row r="245" spans="1:5" s="1366" customFormat="1">
      <c r="A245" s="1124"/>
      <c r="B245" s="1153" t="s">
        <v>1513</v>
      </c>
      <c r="C245" s="1370"/>
      <c r="D245" s="1094"/>
      <c r="E245" s="1188"/>
    </row>
    <row r="246" spans="1:5" s="1366" customFormat="1">
      <c r="A246" s="1124"/>
      <c r="B246" s="1153"/>
      <c r="C246" s="1370"/>
      <c r="D246" s="1094"/>
      <c r="E246" s="1188"/>
    </row>
    <row r="247" spans="1:5" s="1366" customFormat="1">
      <c r="A247" s="1124"/>
      <c r="B247" s="1153"/>
      <c r="C247" s="1370"/>
      <c r="D247" s="1155"/>
      <c r="E247" s="1188"/>
    </row>
    <row r="248" spans="1:5" s="1230" customFormat="1">
      <c r="A248" s="1124"/>
      <c r="B248" s="1241" t="s">
        <v>1514</v>
      </c>
      <c r="C248" s="1156">
        <f>C188+C194+C202+C210</f>
        <v>0</v>
      </c>
      <c r="D248" s="1365">
        <f>D188+D194+D202+D210</f>
        <v>0</v>
      </c>
      <c r="E248" s="1206">
        <f>C248+D248</f>
        <v>0</v>
      </c>
    </row>
    <row r="249" spans="1:5">
      <c r="C249" s="1201"/>
    </row>
    <row r="250" spans="1:5" ht="33" customHeight="1">
      <c r="A250" s="1382"/>
      <c r="B250" s="1572" t="s">
        <v>1698</v>
      </c>
      <c r="C250" s="1572"/>
      <c r="D250" s="1572"/>
      <c r="E250" s="1572"/>
    </row>
    <row r="251" spans="1:5">
      <c r="A251" s="1382"/>
      <c r="B251" s="1573" t="s">
        <v>1699</v>
      </c>
      <c r="C251" s="1573"/>
      <c r="D251" s="1573"/>
      <c r="E251" s="1573"/>
    </row>
    <row r="252" spans="1:5" s="1322" customFormat="1">
      <c r="A252" s="1382"/>
      <c r="B252" s="1573" t="s">
        <v>1700</v>
      </c>
      <c r="C252" s="1573"/>
      <c r="D252" s="1573"/>
      <c r="E252" s="1573"/>
    </row>
    <row r="253" spans="1:5" s="1366" customFormat="1">
      <c r="A253" s="1124"/>
      <c r="B253" s="1367"/>
      <c r="C253" s="1367"/>
      <c r="D253" s="1367"/>
      <c r="E253" s="1367"/>
    </row>
    <row r="254" spans="1:5" ht="21">
      <c r="B254" s="1285" t="s">
        <v>1356</v>
      </c>
    </row>
    <row r="256" spans="1:5">
      <c r="A256" s="1124">
        <f>A178+1</f>
        <v>11</v>
      </c>
      <c r="B256" s="1041" t="s">
        <v>762</v>
      </c>
    </row>
    <row r="257" spans="1:5">
      <c r="D257" s="1201"/>
      <c r="E257" s="1105" t="s">
        <v>1471</v>
      </c>
    </row>
    <row r="258" spans="1:5" s="1306" customFormat="1">
      <c r="A258" s="1124"/>
      <c r="B258" s="1057" t="s">
        <v>77</v>
      </c>
      <c r="C258" s="1319">
        <v>42460</v>
      </c>
      <c r="D258" s="1308" t="s">
        <v>1287</v>
      </c>
      <c r="E258" s="1308" t="s">
        <v>1474</v>
      </c>
    </row>
    <row r="259" spans="1:5">
      <c r="B259" s="1080"/>
      <c r="C259" s="1182"/>
      <c r="D259" s="1050"/>
      <c r="E259" s="1147"/>
    </row>
    <row r="260" spans="1:5">
      <c r="B260" s="1073" t="s">
        <v>1505</v>
      </c>
      <c r="C260" s="1094">
        <v>0</v>
      </c>
      <c r="D260" s="1052">
        <v>0</v>
      </c>
      <c r="E260" s="1188">
        <f t="shared" ref="E260" si="27">C260+D260</f>
        <v>0</v>
      </c>
    </row>
    <row r="261" spans="1:5">
      <c r="B261" s="1073" t="s">
        <v>1602</v>
      </c>
      <c r="C261" s="1154">
        <v>0</v>
      </c>
      <c r="D261" s="1052">
        <v>0</v>
      </c>
      <c r="E261" s="1188">
        <f t="shared" ref="E261:E265" si="28">C261+D261</f>
        <v>0</v>
      </c>
    </row>
    <row r="262" spans="1:5">
      <c r="B262" s="1073" t="s">
        <v>1603</v>
      </c>
      <c r="C262" s="1154">
        <v>0</v>
      </c>
      <c r="D262" s="1052">
        <v>0</v>
      </c>
      <c r="E262" s="1188">
        <f t="shared" si="28"/>
        <v>0</v>
      </c>
    </row>
    <row r="263" spans="1:5">
      <c r="B263" s="1073" t="s">
        <v>1604</v>
      </c>
      <c r="C263" s="1094">
        <v>0</v>
      </c>
      <c r="D263" s="1052">
        <v>0</v>
      </c>
      <c r="E263" s="1188">
        <f t="shared" si="28"/>
        <v>0</v>
      </c>
    </row>
    <row r="264" spans="1:5" s="1322" customFormat="1">
      <c r="A264" s="1124"/>
      <c r="B264" s="1073" t="s">
        <v>1605</v>
      </c>
      <c r="C264" s="1094"/>
      <c r="D264" s="1052"/>
      <c r="E264" s="1188"/>
    </row>
    <row r="265" spans="1:5">
      <c r="B265" s="1073" t="s">
        <v>1606</v>
      </c>
      <c r="C265" s="1154">
        <v>0</v>
      </c>
      <c r="D265" s="1066">
        <v>0</v>
      </c>
      <c r="E265" s="1190">
        <f t="shared" si="28"/>
        <v>0</v>
      </c>
    </row>
    <row r="266" spans="1:5">
      <c r="B266" s="1073"/>
      <c r="C266" s="1162">
        <f>SUM(C260:C265)</f>
        <v>0</v>
      </c>
      <c r="D266" s="1052">
        <v>0</v>
      </c>
      <c r="E266" s="1129">
        <f>SUM(C266:D266)</f>
        <v>0</v>
      </c>
    </row>
    <row r="267" spans="1:5">
      <c r="B267" s="1081"/>
      <c r="C267" s="1183"/>
      <c r="D267" s="1050"/>
      <c r="E267" s="1147"/>
    </row>
    <row r="268" spans="1:5">
      <c r="B268" s="1093" t="s">
        <v>806</v>
      </c>
      <c r="C268" s="1156">
        <f>+C266</f>
        <v>0</v>
      </c>
      <c r="D268" s="1092">
        <f t="shared" ref="D268:E268" si="29">+D266</f>
        <v>0</v>
      </c>
      <c r="E268" s="1160">
        <f t="shared" si="29"/>
        <v>0</v>
      </c>
    </row>
    <row r="269" spans="1:5">
      <c r="C269" s="1201"/>
    </row>
    <row r="270" spans="1:5">
      <c r="C270" s="1201"/>
    </row>
    <row r="271" spans="1:5">
      <c r="A271" s="1124">
        <f>A256+1</f>
        <v>12</v>
      </c>
      <c r="B271" s="1041" t="s">
        <v>763</v>
      </c>
    </row>
    <row r="272" spans="1:5">
      <c r="D272" s="1201"/>
      <c r="E272" s="1105" t="s">
        <v>1471</v>
      </c>
    </row>
    <row r="273" spans="1:5" s="1306" customFormat="1">
      <c r="A273" s="1124"/>
      <c r="B273" s="1097" t="s">
        <v>77</v>
      </c>
      <c r="C273" s="1319">
        <v>42460</v>
      </c>
      <c r="D273" s="1309" t="s">
        <v>1287</v>
      </c>
      <c r="E273" s="1309" t="s">
        <v>1474</v>
      </c>
    </row>
    <row r="274" spans="1:5">
      <c r="B274" s="1088"/>
      <c r="C274" s="1181"/>
      <c r="D274" s="1227"/>
      <c r="E274" s="1080"/>
    </row>
    <row r="275" spans="1:5" ht="31.5">
      <c r="B275" s="1089" t="s">
        <v>1353</v>
      </c>
      <c r="C275" s="1094"/>
      <c r="D275" s="1065"/>
      <c r="E275" s="1080"/>
    </row>
    <row r="276" spans="1:5">
      <c r="B276" s="1073" t="s">
        <v>1133</v>
      </c>
      <c r="C276" s="1094">
        <v>0</v>
      </c>
      <c r="D276" s="1065">
        <v>0</v>
      </c>
      <c r="E276" s="1184">
        <f>C276+D276</f>
        <v>0</v>
      </c>
    </row>
    <row r="277" spans="1:5">
      <c r="B277" s="1073" t="s">
        <v>1607</v>
      </c>
      <c r="C277" s="1094">
        <v>0</v>
      </c>
      <c r="D277" s="1065">
        <v>0</v>
      </c>
      <c r="E277" s="1184">
        <f t="shared" ref="E277:E281" si="30">C277+D277</f>
        <v>0</v>
      </c>
    </row>
    <row r="278" spans="1:5">
      <c r="B278" s="1073" t="s">
        <v>1354</v>
      </c>
      <c r="C278" s="1094">
        <v>0</v>
      </c>
      <c r="D278" s="1066">
        <v>0</v>
      </c>
      <c r="E278" s="1190">
        <f t="shared" si="30"/>
        <v>0</v>
      </c>
    </row>
    <row r="279" spans="1:5">
      <c r="B279" s="1424"/>
      <c r="C279" s="1095">
        <f>SUM(C276:C278)</f>
        <v>0</v>
      </c>
      <c r="D279" s="1065">
        <v>0</v>
      </c>
      <c r="E279" s="1184">
        <f t="shared" si="30"/>
        <v>0</v>
      </c>
    </row>
    <row r="280" spans="1:5">
      <c r="B280" s="1424" t="s">
        <v>1674</v>
      </c>
      <c r="C280" s="1094">
        <v>0</v>
      </c>
      <c r="D280" s="1066">
        <v>0</v>
      </c>
      <c r="E280" s="1190">
        <f t="shared" si="30"/>
        <v>0</v>
      </c>
    </row>
    <row r="281" spans="1:5">
      <c r="B281" s="1424"/>
      <c r="C281" s="1095">
        <f>+C279-C280</f>
        <v>0</v>
      </c>
      <c r="D281" s="1065">
        <v>0</v>
      </c>
      <c r="E281" s="1184">
        <f t="shared" si="30"/>
        <v>0</v>
      </c>
    </row>
    <row r="282" spans="1:5">
      <c r="B282" s="1424"/>
      <c r="C282" s="1094"/>
      <c r="D282" s="1065"/>
      <c r="E282" s="1080"/>
    </row>
    <row r="283" spans="1:5">
      <c r="B283" s="1425" t="s">
        <v>1136</v>
      </c>
      <c r="C283" s="1094"/>
      <c r="D283" s="1065"/>
      <c r="E283" s="1080"/>
    </row>
    <row r="284" spans="1:5">
      <c r="B284" s="1423" t="s">
        <v>1133</v>
      </c>
      <c r="C284" s="1094">
        <v>0</v>
      </c>
      <c r="D284" s="1065">
        <v>0</v>
      </c>
      <c r="E284" s="1184">
        <f t="shared" ref="E284:E289" si="31">C284+D284</f>
        <v>0</v>
      </c>
    </row>
    <row r="285" spans="1:5">
      <c r="B285" s="1423" t="s">
        <v>1134</v>
      </c>
      <c r="C285" s="1094">
        <v>0</v>
      </c>
      <c r="D285" s="1065">
        <v>0</v>
      </c>
      <c r="E285" s="1184">
        <f t="shared" si="31"/>
        <v>0</v>
      </c>
    </row>
    <row r="286" spans="1:5">
      <c r="B286" s="1423" t="s">
        <v>1135</v>
      </c>
      <c r="C286" s="1154">
        <v>0</v>
      </c>
      <c r="D286" s="1066">
        <v>0</v>
      </c>
      <c r="E286" s="1190">
        <f t="shared" si="31"/>
        <v>0</v>
      </c>
    </row>
    <row r="287" spans="1:5">
      <c r="B287" s="1424"/>
      <c r="C287" s="1095">
        <f>SUM(C284:C286)</f>
        <v>0</v>
      </c>
      <c r="D287" s="1065">
        <v>0</v>
      </c>
      <c r="E287" s="1184">
        <f t="shared" si="31"/>
        <v>0</v>
      </c>
    </row>
    <row r="288" spans="1:5">
      <c r="B288" s="1424" t="s">
        <v>1675</v>
      </c>
      <c r="C288" s="1179">
        <v>0</v>
      </c>
      <c r="D288" s="1066"/>
      <c r="E288" s="1190">
        <f t="shared" si="31"/>
        <v>0</v>
      </c>
    </row>
    <row r="289" spans="1:5">
      <c r="B289" s="1081"/>
      <c r="C289" s="1154">
        <f>+C287-C288</f>
        <v>0</v>
      </c>
      <c r="D289" s="1065">
        <v>0</v>
      </c>
      <c r="E289" s="1184">
        <f t="shared" si="31"/>
        <v>0</v>
      </c>
    </row>
    <row r="290" spans="1:5">
      <c r="B290" s="1083"/>
      <c r="C290" s="1155"/>
      <c r="D290" s="1065"/>
      <c r="E290" s="1080"/>
    </row>
    <row r="291" spans="1:5">
      <c r="B291" s="1098" t="s">
        <v>806</v>
      </c>
      <c r="C291" s="1156">
        <f>+C289+C281</f>
        <v>0</v>
      </c>
      <c r="D291" s="1156">
        <f t="shared" ref="D291:E291" si="32">+D289+D281</f>
        <v>0</v>
      </c>
      <c r="E291" s="1156">
        <f t="shared" si="32"/>
        <v>0</v>
      </c>
    </row>
    <row r="292" spans="1:5">
      <c r="B292" s="1023"/>
      <c r="C292" s="1201"/>
    </row>
    <row r="293" spans="1:5">
      <c r="A293" s="1124">
        <f>A271+1</f>
        <v>13</v>
      </c>
      <c r="B293" s="1303" t="s">
        <v>1422</v>
      </c>
      <c r="C293" s="1234"/>
      <c r="D293" s="1228"/>
      <c r="E293" s="1228"/>
    </row>
    <row r="294" spans="1:5" s="1230" customFormat="1">
      <c r="A294" s="1124"/>
      <c r="B294" s="1235"/>
      <c r="C294" s="1234"/>
      <c r="D294" s="1191"/>
    </row>
    <row r="295" spans="1:5">
      <c r="D295" s="1201"/>
      <c r="E295" s="1105" t="s">
        <v>1471</v>
      </c>
    </row>
    <row r="296" spans="1:5" s="1306" customFormat="1">
      <c r="A296" s="1124"/>
      <c r="B296" s="1057" t="s">
        <v>77</v>
      </c>
      <c r="C296" s="1319">
        <v>42460</v>
      </c>
      <c r="D296" s="1309" t="s">
        <v>1410</v>
      </c>
      <c r="E296" s="1308" t="s">
        <v>1474</v>
      </c>
    </row>
    <row r="297" spans="1:5">
      <c r="A297" s="1132"/>
      <c r="B297" s="1058"/>
      <c r="C297" s="1061"/>
      <c r="D297" s="1061"/>
      <c r="E297" s="1161"/>
    </row>
    <row r="298" spans="1:5">
      <c r="B298" s="1118" t="s">
        <v>1367</v>
      </c>
      <c r="C298" s="1094"/>
      <c r="D298" s="1065"/>
      <c r="E298" s="1080"/>
    </row>
    <row r="299" spans="1:5">
      <c r="B299" s="1118"/>
      <c r="C299" s="1094"/>
      <c r="D299" s="1065"/>
      <c r="E299" s="1080"/>
    </row>
    <row r="300" spans="1:5">
      <c r="B300" s="1196" t="s">
        <v>1363</v>
      </c>
      <c r="C300" s="1065">
        <v>0</v>
      </c>
      <c r="D300" s="1065">
        <v>0</v>
      </c>
      <c r="E300" s="1094">
        <f>SUM(C300:D300)</f>
        <v>0</v>
      </c>
    </row>
    <row r="301" spans="1:5">
      <c r="B301" s="1196" t="s">
        <v>1608</v>
      </c>
      <c r="C301" s="1065">
        <v>0</v>
      </c>
      <c r="D301" s="1065">
        <v>0</v>
      </c>
      <c r="E301" s="1094">
        <f t="shared" ref="E301:E310" si="33">SUM(C301:D301)</f>
        <v>0</v>
      </c>
    </row>
    <row r="302" spans="1:5">
      <c r="B302" s="1196" t="s">
        <v>1364</v>
      </c>
      <c r="C302" s="1094"/>
      <c r="D302" s="1065"/>
      <c r="E302" s="1094"/>
    </row>
    <row r="303" spans="1:5">
      <c r="B303" s="1196" t="s">
        <v>1646</v>
      </c>
      <c r="C303" s="1094">
        <v>0</v>
      </c>
      <c r="D303" s="1065">
        <v>0</v>
      </c>
      <c r="E303" s="1094">
        <f t="shared" si="33"/>
        <v>0</v>
      </c>
    </row>
    <row r="304" spans="1:5">
      <c r="B304" s="1196" t="s">
        <v>1647</v>
      </c>
      <c r="C304" s="1094">
        <v>0</v>
      </c>
      <c r="D304" s="1065">
        <f>-C304</f>
        <v>0</v>
      </c>
      <c r="E304" s="1094">
        <f t="shared" si="33"/>
        <v>0</v>
      </c>
    </row>
    <row r="305" spans="1:5">
      <c r="B305" s="1196" t="s">
        <v>1648</v>
      </c>
      <c r="C305" s="1094">
        <v>0</v>
      </c>
      <c r="D305" s="1065">
        <v>0</v>
      </c>
      <c r="E305" s="1094">
        <f t="shared" si="33"/>
        <v>0</v>
      </c>
    </row>
    <row r="306" spans="1:5" s="1322" customFormat="1">
      <c r="A306" s="1124"/>
      <c r="B306" s="1071" t="s">
        <v>1649</v>
      </c>
      <c r="C306" s="1094"/>
      <c r="D306" s="1065"/>
      <c r="E306" s="1094"/>
    </row>
    <row r="307" spans="1:5" s="1322" customFormat="1">
      <c r="A307" s="1124"/>
      <c r="B307" s="1422" t="s">
        <v>1650</v>
      </c>
      <c r="C307" s="1094"/>
      <c r="D307" s="1065"/>
      <c r="E307" s="1094"/>
    </row>
    <row r="308" spans="1:5" s="1322" customFormat="1">
      <c r="A308" s="1124"/>
      <c r="B308" s="1316" t="s">
        <v>1506</v>
      </c>
      <c r="C308" s="1094"/>
      <c r="D308" s="1065"/>
      <c r="E308" s="1094"/>
    </row>
    <row r="309" spans="1:5" s="1322" customFormat="1">
      <c r="A309" s="1124"/>
      <c r="B309" s="1422" t="s">
        <v>1650</v>
      </c>
      <c r="C309" s="1094">
        <v>0</v>
      </c>
      <c r="D309" s="1065">
        <v>0</v>
      </c>
      <c r="E309" s="1094">
        <v>0</v>
      </c>
    </row>
    <row r="310" spans="1:5">
      <c r="B310" s="1422" t="s">
        <v>1651</v>
      </c>
      <c r="C310" s="1155">
        <v>0</v>
      </c>
      <c r="D310" s="1066">
        <v>0</v>
      </c>
      <c r="E310" s="1155">
        <f t="shared" si="33"/>
        <v>0</v>
      </c>
    </row>
    <row r="311" spans="1:5">
      <c r="B311" s="1086"/>
      <c r="C311" s="1094">
        <f>SUM(C300:C310)</f>
        <v>0</v>
      </c>
      <c r="D311" s="1074">
        <f>SUM(D300:D310)</f>
        <v>0</v>
      </c>
      <c r="E311" s="1095">
        <f>C311+D311</f>
        <v>0</v>
      </c>
    </row>
    <row r="312" spans="1:5" s="1254" customFormat="1">
      <c r="A312" s="1124"/>
      <c r="B312" s="1085"/>
      <c r="C312" s="1155"/>
      <c r="D312" s="1155"/>
      <c r="E312" s="1155"/>
    </row>
    <row r="313" spans="1:5">
      <c r="B313" s="1098" t="s">
        <v>806</v>
      </c>
      <c r="C313" s="1157">
        <f>C311</f>
        <v>0</v>
      </c>
      <c r="D313" s="1157">
        <f>D311</f>
        <v>0</v>
      </c>
      <c r="E313" s="1157">
        <f>E311</f>
        <v>0</v>
      </c>
    </row>
    <row r="314" spans="1:5">
      <c r="B314" s="1192"/>
      <c r="C314" s="1193"/>
      <c r="D314" s="1193"/>
      <c r="E314" s="1193"/>
    </row>
    <row r="315" spans="1:5" ht="48.75" customHeight="1">
      <c r="A315" s="1382"/>
      <c r="B315" s="1577" t="s">
        <v>1697</v>
      </c>
      <c r="C315" s="1577"/>
      <c r="D315" s="1577"/>
      <c r="E315" s="1577"/>
    </row>
    <row r="316" spans="1:5" s="1391" customFormat="1">
      <c r="A316" s="1382"/>
      <c r="B316" s="1397"/>
      <c r="C316" s="1397"/>
      <c r="D316" s="1397"/>
      <c r="E316" s="1397"/>
    </row>
    <row r="317" spans="1:5">
      <c r="A317" s="1124">
        <f>A293+1</f>
        <v>14</v>
      </c>
      <c r="B317" s="1076" t="s">
        <v>1408</v>
      </c>
      <c r="C317" s="1079"/>
      <c r="D317" s="1079"/>
      <c r="E317" s="1079"/>
    </row>
    <row r="318" spans="1:5">
      <c r="D318" s="1201"/>
      <c r="E318" s="1105" t="s">
        <v>1471</v>
      </c>
    </row>
    <row r="319" spans="1:5" s="1306" customFormat="1">
      <c r="A319" s="1124"/>
      <c r="B319" s="1057" t="s">
        <v>77</v>
      </c>
      <c r="C319" s="1319">
        <v>42460</v>
      </c>
      <c r="D319" s="1309" t="s">
        <v>1410</v>
      </c>
      <c r="E319" s="1308" t="s">
        <v>1474</v>
      </c>
    </row>
    <row r="320" spans="1:5">
      <c r="B320" s="1196"/>
      <c r="C320" s="1061"/>
      <c r="D320" s="1063"/>
      <c r="E320" s="1068"/>
    </row>
    <row r="321" spans="1:5" s="1322" customFormat="1">
      <c r="A321" s="1124"/>
      <c r="B321" s="1196" t="s">
        <v>1507</v>
      </c>
      <c r="C321" s="1239"/>
      <c r="D321" s="1068"/>
      <c r="E321" s="1068"/>
    </row>
    <row r="322" spans="1:5">
      <c r="B322" s="1196" t="s">
        <v>1652</v>
      </c>
      <c r="C322" s="1094">
        <v>0</v>
      </c>
      <c r="D322" s="1052">
        <f>-D304</f>
        <v>0</v>
      </c>
      <c r="E322" s="1129">
        <f t="shared" ref="E322:E323" si="34">SUM(C322:D322)</f>
        <v>0</v>
      </c>
    </row>
    <row r="323" spans="1:5">
      <c r="B323" s="1196" t="s">
        <v>1653</v>
      </c>
      <c r="C323" s="1094">
        <v>0</v>
      </c>
      <c r="D323" s="1052">
        <v>0</v>
      </c>
      <c r="E323" s="1129">
        <f t="shared" si="34"/>
        <v>0</v>
      </c>
    </row>
    <row r="324" spans="1:5" ht="15.75" customHeight="1">
      <c r="B324" s="1196" t="s">
        <v>1654</v>
      </c>
      <c r="C324" s="1094">
        <v>0</v>
      </c>
      <c r="D324" s="1129">
        <v>0</v>
      </c>
      <c r="E324" s="1129">
        <f>SUM(D324:D324)</f>
        <v>0</v>
      </c>
    </row>
    <row r="325" spans="1:5" s="1322" customFormat="1" ht="15.75" customHeight="1">
      <c r="A325" s="1124"/>
      <c r="B325" s="1194"/>
      <c r="C325" s="1095"/>
      <c r="D325" s="1357"/>
      <c r="E325" s="1357"/>
    </row>
    <row r="326" spans="1:5">
      <c r="B326" s="1085"/>
      <c r="C326" s="1095">
        <f>SUM(C322:C324)</f>
        <v>0</v>
      </c>
      <c r="D326" s="1357"/>
      <c r="E326" s="1357"/>
    </row>
    <row r="327" spans="1:5">
      <c r="B327" s="1085"/>
      <c r="C327" s="1155"/>
      <c r="D327" s="1082"/>
      <c r="E327" s="1148"/>
    </row>
    <row r="328" spans="1:5">
      <c r="B328" s="1195" t="s">
        <v>806</v>
      </c>
      <c r="C328" s="1156">
        <f>+C326</f>
        <v>0</v>
      </c>
      <c r="D328" s="1156">
        <f>SUM(D322:D326)</f>
        <v>0</v>
      </c>
      <c r="E328" s="1156">
        <f>C328+D328</f>
        <v>0</v>
      </c>
    </row>
    <row r="329" spans="1:5">
      <c r="C329" s="1201"/>
    </row>
    <row r="330" spans="1:5" ht="36" customHeight="1">
      <c r="A330" s="1382"/>
      <c r="B330" s="1575" t="s">
        <v>1696</v>
      </c>
      <c r="C330" s="1575"/>
      <c r="D330" s="1575"/>
      <c r="E330" s="1575"/>
    </row>
    <row r="332" spans="1:5">
      <c r="A332" s="1124">
        <f>A317+1</f>
        <v>15</v>
      </c>
      <c r="B332" s="1041" t="s">
        <v>1690</v>
      </c>
    </row>
    <row r="333" spans="1:5">
      <c r="D333" s="1201"/>
      <c r="E333" s="1105" t="s">
        <v>1471</v>
      </c>
    </row>
    <row r="334" spans="1:5" s="1306" customFormat="1">
      <c r="A334" s="1124"/>
      <c r="B334" s="1057" t="s">
        <v>77</v>
      </c>
      <c r="C334" s="1319">
        <v>42460</v>
      </c>
      <c r="D334" s="1323" t="s">
        <v>1410</v>
      </c>
      <c r="E334" s="1323" t="s">
        <v>1474</v>
      </c>
    </row>
    <row r="335" spans="1:5">
      <c r="B335" s="1099"/>
      <c r="C335" s="1162"/>
      <c r="D335" s="1101"/>
      <c r="E335" s="1080"/>
    </row>
    <row r="336" spans="1:5" s="1322" customFormat="1">
      <c r="A336" s="1124"/>
      <c r="B336" s="1100" t="s">
        <v>1522</v>
      </c>
      <c r="C336" s="1094"/>
      <c r="D336" s="1052"/>
      <c r="E336" s="1080"/>
    </row>
    <row r="337" spans="1:5" s="1322" customFormat="1">
      <c r="A337" s="1124"/>
      <c r="B337" s="1071" t="s">
        <v>1365</v>
      </c>
      <c r="C337" s="1154">
        <v>0</v>
      </c>
      <c r="D337" s="1052">
        <f t="shared" ref="D337:D340" si="35">-C337</f>
        <v>0</v>
      </c>
      <c r="E337" s="1184">
        <f t="shared" ref="E337:E339" si="36">C337+D337</f>
        <v>0</v>
      </c>
    </row>
    <row r="338" spans="1:5" s="1322" customFormat="1">
      <c r="A338" s="1124"/>
      <c r="B338" s="1071" t="s">
        <v>1366</v>
      </c>
      <c r="C338" s="1094">
        <v>0</v>
      </c>
      <c r="D338" s="1052">
        <f t="shared" si="35"/>
        <v>0</v>
      </c>
      <c r="E338" s="1184">
        <f t="shared" si="36"/>
        <v>0</v>
      </c>
    </row>
    <row r="339" spans="1:5" s="1322" customFormat="1">
      <c r="A339" s="1124"/>
      <c r="B339" s="1071" t="s">
        <v>1362</v>
      </c>
      <c r="C339" s="1094">
        <v>0</v>
      </c>
      <c r="D339" s="1052">
        <f t="shared" si="35"/>
        <v>0</v>
      </c>
      <c r="E339" s="1190">
        <f t="shared" si="36"/>
        <v>0</v>
      </c>
    </row>
    <row r="340" spans="1:5" s="1322" customFormat="1">
      <c r="A340" s="1124"/>
      <c r="B340" s="1071"/>
      <c r="C340" s="1095">
        <f>SUM(C337:C339)</f>
        <v>0</v>
      </c>
      <c r="D340" s="1096">
        <f t="shared" si="35"/>
        <v>0</v>
      </c>
      <c r="E340" s="1095">
        <f t="shared" ref="E340" si="37">SUM(E337:E339)</f>
        <v>0</v>
      </c>
    </row>
    <row r="341" spans="1:5" s="1322" customFormat="1">
      <c r="A341" s="1124"/>
      <c r="B341" s="1071" t="s">
        <v>1676</v>
      </c>
      <c r="C341" s="1094">
        <v>0</v>
      </c>
      <c r="D341" s="1052">
        <f>C341</f>
        <v>0</v>
      </c>
      <c r="E341" s="1184">
        <v>0</v>
      </c>
    </row>
    <row r="342" spans="1:5" s="1322" customFormat="1">
      <c r="A342" s="1124"/>
      <c r="B342" s="1153" t="s">
        <v>1424</v>
      </c>
      <c r="C342" s="1095"/>
      <c r="D342" s="1101"/>
      <c r="E342" s="1372"/>
    </row>
    <row r="343" spans="1:5" s="1366" customFormat="1">
      <c r="A343" s="1124"/>
      <c r="B343" s="1153"/>
      <c r="C343" s="1094"/>
      <c r="D343" s="1052"/>
      <c r="E343" s="1080"/>
    </row>
    <row r="344" spans="1:5" s="1322" customFormat="1">
      <c r="A344" s="1124"/>
      <c r="B344" s="1100" t="s">
        <v>1523</v>
      </c>
      <c r="C344" s="1094"/>
      <c r="D344" s="1052"/>
      <c r="E344" s="1080"/>
    </row>
    <row r="345" spans="1:5" s="1322" customFormat="1">
      <c r="A345" s="1124"/>
      <c r="B345" s="1071" t="s">
        <v>1365</v>
      </c>
      <c r="C345" s="1154">
        <v>0</v>
      </c>
      <c r="D345" s="1052">
        <f t="shared" ref="D345:D348" si="38">-C345</f>
        <v>0</v>
      </c>
      <c r="E345" s="1184">
        <f t="shared" ref="E345:E347" si="39">C345+D345</f>
        <v>0</v>
      </c>
    </row>
    <row r="346" spans="1:5" s="1322" customFormat="1">
      <c r="A346" s="1124"/>
      <c r="B346" s="1071" t="s">
        <v>1366</v>
      </c>
      <c r="C346" s="1094">
        <v>0</v>
      </c>
      <c r="D346" s="1052">
        <f t="shared" si="38"/>
        <v>0</v>
      </c>
      <c r="E346" s="1184">
        <f t="shared" si="39"/>
        <v>0</v>
      </c>
    </row>
    <row r="347" spans="1:5" s="1322" customFormat="1">
      <c r="A347" s="1124"/>
      <c r="B347" s="1071" t="s">
        <v>1362</v>
      </c>
      <c r="C347" s="1094">
        <v>0</v>
      </c>
      <c r="D347" s="1052">
        <f t="shared" si="38"/>
        <v>0</v>
      </c>
      <c r="E347" s="1190">
        <f t="shared" si="39"/>
        <v>0</v>
      </c>
    </row>
    <row r="348" spans="1:5">
      <c r="B348" s="1071"/>
      <c r="C348" s="1095">
        <f>SUM(C345:C347)</f>
        <v>0</v>
      </c>
      <c r="D348" s="1359">
        <f t="shared" si="38"/>
        <v>0</v>
      </c>
      <c r="E348" s="1095">
        <f t="shared" ref="E348" si="40">SUM(E345:E347)</f>
        <v>0</v>
      </c>
    </row>
    <row r="349" spans="1:5">
      <c r="B349" s="1071" t="s">
        <v>1676</v>
      </c>
      <c r="C349" s="1094">
        <v>0</v>
      </c>
      <c r="D349" s="1048">
        <f>C349</f>
        <v>0</v>
      </c>
      <c r="E349" s="1184">
        <v>0</v>
      </c>
    </row>
    <row r="350" spans="1:5" s="1322" customFormat="1">
      <c r="A350" s="1124"/>
      <c r="B350" s="1153" t="s">
        <v>1425</v>
      </c>
      <c r="C350" s="1095"/>
      <c r="D350" s="1373"/>
      <c r="E350" s="1189"/>
    </row>
    <row r="351" spans="1:5" s="1366" customFormat="1">
      <c r="A351" s="1124"/>
      <c r="B351" s="1153"/>
      <c r="C351" s="1094"/>
      <c r="D351" s="1048"/>
      <c r="E351" s="1184"/>
    </row>
    <row r="352" spans="1:5" s="1305" customFormat="1">
      <c r="A352" s="1124"/>
      <c r="B352" s="1100" t="s">
        <v>1658</v>
      </c>
      <c r="C352" s="1154"/>
      <c r="D352" s="1052"/>
      <c r="E352" s="1080"/>
    </row>
    <row r="353" spans="1:6" s="1305" customFormat="1">
      <c r="A353" s="1124"/>
      <c r="B353" s="1071" t="s">
        <v>1625</v>
      </c>
      <c r="C353" s="1154">
        <v>0</v>
      </c>
      <c r="D353" s="1052">
        <v>0</v>
      </c>
      <c r="E353" s="1094">
        <f>C353+D353</f>
        <v>0</v>
      </c>
    </row>
    <row r="354" spans="1:6" s="1305" customFormat="1">
      <c r="A354" s="1124"/>
      <c r="B354" s="1071" t="s">
        <v>1626</v>
      </c>
      <c r="C354" s="1154">
        <v>0</v>
      </c>
      <c r="D354" s="1052">
        <v>0</v>
      </c>
      <c r="E354" s="1094">
        <f t="shared" ref="E354:E355" si="41">C354+D354</f>
        <v>0</v>
      </c>
    </row>
    <row r="355" spans="1:6" s="1305" customFormat="1">
      <c r="A355" s="1124"/>
      <c r="B355" s="1071" t="s">
        <v>1627</v>
      </c>
      <c r="C355" s="1154">
        <v>0</v>
      </c>
      <c r="D355" s="1052">
        <v>0</v>
      </c>
      <c r="E355" s="1094">
        <f t="shared" si="41"/>
        <v>0</v>
      </c>
    </row>
    <row r="356" spans="1:6" s="1366" customFormat="1">
      <c r="A356" s="1124"/>
      <c r="B356" s="1071"/>
      <c r="C356" s="1095">
        <f>SUM(C353:C355)</f>
        <v>0</v>
      </c>
      <c r="D356" s="1359">
        <f t="shared" ref="D356" si="42">-C356</f>
        <v>0</v>
      </c>
      <c r="E356" s="1095">
        <f t="shared" ref="E356" si="43">SUM(E353:E355)</f>
        <v>0</v>
      </c>
    </row>
    <row r="357" spans="1:6" s="1305" customFormat="1">
      <c r="A357" s="1124"/>
      <c r="B357" s="1071" t="s">
        <v>1676</v>
      </c>
      <c r="C357" s="1094">
        <v>0</v>
      </c>
      <c r="D357" s="1048">
        <f>C357</f>
        <v>0</v>
      </c>
      <c r="E357" s="1184">
        <v>0</v>
      </c>
    </row>
    <row r="358" spans="1:6" s="1366" customFormat="1">
      <c r="A358" s="1124"/>
      <c r="B358" s="1153" t="s">
        <v>1432</v>
      </c>
      <c r="C358" s="1095"/>
      <c r="D358" s="1373"/>
      <c r="E358" s="1189"/>
    </row>
    <row r="359" spans="1:6" s="1366" customFormat="1">
      <c r="A359" s="1124"/>
      <c r="B359" s="1071"/>
      <c r="C359" s="1094"/>
      <c r="D359" s="1048"/>
      <c r="E359" s="1184"/>
    </row>
    <row r="360" spans="1:6" s="1322" customFormat="1">
      <c r="A360" s="1124"/>
      <c r="B360" s="1426" t="s">
        <v>1677</v>
      </c>
      <c r="C360" s="1094"/>
      <c r="D360" s="1052"/>
      <c r="E360" s="1080"/>
    </row>
    <row r="361" spans="1:6" s="1322" customFormat="1">
      <c r="A361" s="1124"/>
      <c r="B361" s="1071" t="s">
        <v>1365</v>
      </c>
      <c r="C361" s="1154">
        <v>0</v>
      </c>
      <c r="D361" s="1052">
        <f t="shared" ref="D361:D364" si="44">-C361</f>
        <v>0</v>
      </c>
      <c r="E361" s="1184">
        <f t="shared" ref="E361:E363" si="45">C361+D361</f>
        <v>0</v>
      </c>
    </row>
    <row r="362" spans="1:6" s="1322" customFormat="1">
      <c r="A362" s="1124"/>
      <c r="B362" s="1071" t="s">
        <v>1366</v>
      </c>
      <c r="C362" s="1094">
        <v>0</v>
      </c>
      <c r="D362" s="1052">
        <f t="shared" si="44"/>
        <v>0</v>
      </c>
      <c r="E362" s="1184">
        <f t="shared" si="45"/>
        <v>0</v>
      </c>
    </row>
    <row r="363" spans="1:6" s="1322" customFormat="1">
      <c r="A363" s="1124"/>
      <c r="B363" s="1071" t="s">
        <v>1362</v>
      </c>
      <c r="C363" s="1094">
        <v>0</v>
      </c>
      <c r="D363" s="1052">
        <f t="shared" si="44"/>
        <v>0</v>
      </c>
      <c r="E363" s="1190">
        <f t="shared" si="45"/>
        <v>0</v>
      </c>
    </row>
    <row r="364" spans="1:6" s="1322" customFormat="1">
      <c r="A364" s="1124"/>
      <c r="B364" s="1071"/>
      <c r="C364" s="1095">
        <f>SUM(C361:C363)</f>
        <v>0</v>
      </c>
      <c r="D364" s="1359">
        <f t="shared" si="44"/>
        <v>0</v>
      </c>
      <c r="E364" s="1095">
        <f t="shared" ref="E364" si="46">SUM(E361:E363)</f>
        <v>0</v>
      </c>
    </row>
    <row r="365" spans="1:6" s="1322" customFormat="1">
      <c r="A365" s="1124"/>
      <c r="B365" s="1071" t="s">
        <v>1676</v>
      </c>
      <c r="C365" s="1094">
        <v>0</v>
      </c>
      <c r="D365" s="1048">
        <f>C365</f>
        <v>0</v>
      </c>
      <c r="E365" s="1184">
        <v>0</v>
      </c>
    </row>
    <row r="366" spans="1:6" s="1322" customFormat="1">
      <c r="A366" s="1124"/>
      <c r="B366" s="1153" t="s">
        <v>1431</v>
      </c>
      <c r="C366" s="1095"/>
      <c r="D366" s="1373"/>
      <c r="E366" s="1189"/>
    </row>
    <row r="367" spans="1:6" s="1366" customFormat="1">
      <c r="A367" s="1124"/>
      <c r="B367" s="1153"/>
      <c r="C367" s="1094"/>
      <c r="D367" s="1048"/>
      <c r="E367" s="1184"/>
    </row>
    <row r="368" spans="1:6" s="1366" customFormat="1">
      <c r="A368" s="1124"/>
      <c r="B368" s="1426" t="s">
        <v>1678</v>
      </c>
      <c r="C368" s="1094"/>
      <c r="D368" s="1052"/>
      <c r="E368" s="1080"/>
      <c r="F368" s="1394"/>
    </row>
    <row r="369" spans="1:5" s="1366" customFormat="1">
      <c r="A369" s="1124"/>
      <c r="B369" s="1071" t="s">
        <v>1365</v>
      </c>
      <c r="C369" s="1154">
        <v>0</v>
      </c>
      <c r="D369" s="1052">
        <f t="shared" ref="D369:D372" si="47">-C369</f>
        <v>0</v>
      </c>
      <c r="E369" s="1184">
        <f t="shared" ref="E369:E371" si="48">C369+D369</f>
        <v>0</v>
      </c>
    </row>
    <row r="370" spans="1:5" s="1366" customFormat="1">
      <c r="A370" s="1124"/>
      <c r="B370" s="1071" t="s">
        <v>1366</v>
      </c>
      <c r="C370" s="1094">
        <v>0</v>
      </c>
      <c r="D370" s="1052">
        <f t="shared" si="47"/>
        <v>0</v>
      </c>
      <c r="E370" s="1184">
        <f t="shared" si="48"/>
        <v>0</v>
      </c>
    </row>
    <row r="371" spans="1:5" s="1366" customFormat="1">
      <c r="A371" s="1124"/>
      <c r="B371" s="1071" t="s">
        <v>1362</v>
      </c>
      <c r="C371" s="1094">
        <v>0</v>
      </c>
      <c r="D371" s="1052">
        <f t="shared" si="47"/>
        <v>0</v>
      </c>
      <c r="E371" s="1190">
        <f t="shared" si="48"/>
        <v>0</v>
      </c>
    </row>
    <row r="372" spans="1:5" s="1366" customFormat="1">
      <c r="A372" s="1124"/>
      <c r="B372" s="1071"/>
      <c r="C372" s="1095">
        <f>SUM(C369:C371)</f>
        <v>0</v>
      </c>
      <c r="D372" s="1359">
        <f t="shared" si="47"/>
        <v>0</v>
      </c>
      <c r="E372" s="1095">
        <f t="shared" ref="E372" si="49">SUM(E369:E371)</f>
        <v>0</v>
      </c>
    </row>
    <row r="373" spans="1:5" s="1366" customFormat="1">
      <c r="A373" s="1124"/>
      <c r="B373" s="1071" t="s">
        <v>1676</v>
      </c>
      <c r="C373" s="1094">
        <v>0</v>
      </c>
      <c r="D373" s="1048">
        <f>C373</f>
        <v>0</v>
      </c>
      <c r="E373" s="1184">
        <v>0</v>
      </c>
    </row>
    <row r="374" spans="1:5" s="1366" customFormat="1">
      <c r="A374" s="1124"/>
      <c r="B374" s="1153" t="s">
        <v>1503</v>
      </c>
      <c r="C374" s="1095"/>
      <c r="D374" s="1373"/>
      <c r="E374" s="1189"/>
    </row>
    <row r="375" spans="1:5" s="1366" customFormat="1">
      <c r="A375" s="1124"/>
      <c r="B375" s="1153"/>
      <c r="C375" s="1094"/>
      <c r="D375" s="1048"/>
      <c r="E375" s="1184"/>
    </row>
    <row r="376" spans="1:5">
      <c r="B376" s="1100" t="s">
        <v>1524</v>
      </c>
      <c r="C376" s="1094"/>
      <c r="D376" s="1052"/>
      <c r="E376" s="1080"/>
    </row>
    <row r="377" spans="1:5" s="1322" customFormat="1">
      <c r="A377" s="1124"/>
      <c r="B377" s="1071" t="s">
        <v>1365</v>
      </c>
      <c r="C377" s="1154">
        <v>0</v>
      </c>
      <c r="D377" s="1052">
        <f t="shared" ref="D377:D380" si="50">-C377</f>
        <v>0</v>
      </c>
      <c r="E377" s="1184">
        <f t="shared" ref="E377:E379" si="51">C377+D377</f>
        <v>0</v>
      </c>
    </row>
    <row r="378" spans="1:5" s="1322" customFormat="1">
      <c r="A378" s="1124"/>
      <c r="B378" s="1071" t="s">
        <v>1366</v>
      </c>
      <c r="C378" s="1094">
        <v>0</v>
      </c>
      <c r="D378" s="1052">
        <f t="shared" si="50"/>
        <v>0</v>
      </c>
      <c r="E378" s="1184">
        <f t="shared" si="51"/>
        <v>0</v>
      </c>
    </row>
    <row r="379" spans="1:5" s="1322" customFormat="1">
      <c r="A379" s="1124"/>
      <c r="B379" s="1071" t="s">
        <v>1362</v>
      </c>
      <c r="C379" s="1094">
        <v>0</v>
      </c>
      <c r="D379" s="1052">
        <f t="shared" si="50"/>
        <v>0</v>
      </c>
      <c r="E379" s="1190">
        <f t="shared" si="51"/>
        <v>0</v>
      </c>
    </row>
    <row r="380" spans="1:5" s="1322" customFormat="1">
      <c r="A380" s="1124"/>
      <c r="B380" s="1071"/>
      <c r="C380" s="1095">
        <f>SUM(C377:C379)</f>
        <v>0</v>
      </c>
      <c r="D380" s="1096">
        <f t="shared" si="50"/>
        <v>0</v>
      </c>
      <c r="E380" s="1095">
        <f t="shared" ref="E380" si="52">SUM(E377:E379)</f>
        <v>0</v>
      </c>
    </row>
    <row r="381" spans="1:5" s="1322" customFormat="1">
      <c r="A381" s="1124"/>
      <c r="B381" s="1071" t="s">
        <v>1676</v>
      </c>
      <c r="C381" s="1094">
        <v>0</v>
      </c>
      <c r="D381" s="1052">
        <f>C381</f>
        <v>0</v>
      </c>
      <c r="E381" s="1184">
        <v>0</v>
      </c>
    </row>
    <row r="382" spans="1:5" s="1322" customFormat="1">
      <c r="A382" s="1124"/>
      <c r="B382" s="1153" t="s">
        <v>1504</v>
      </c>
      <c r="C382" s="1095"/>
      <c r="D382" s="1101"/>
      <c r="E382" s="1372"/>
    </row>
    <row r="383" spans="1:5" s="1366" customFormat="1">
      <c r="A383" s="1124"/>
      <c r="B383" s="1153"/>
      <c r="C383" s="1094"/>
      <c r="D383" s="1052"/>
      <c r="E383" s="1080"/>
    </row>
    <row r="384" spans="1:5" s="1322" customFormat="1">
      <c r="A384" s="1124"/>
      <c r="B384" s="1100" t="s">
        <v>1516</v>
      </c>
      <c r="C384" s="1094"/>
      <c r="D384" s="1052"/>
      <c r="E384" s="1080"/>
    </row>
    <row r="385" spans="1:5" s="1322" customFormat="1">
      <c r="A385" s="1124"/>
      <c r="B385" s="1071" t="s">
        <v>1365</v>
      </c>
      <c r="C385" s="1154">
        <v>0</v>
      </c>
      <c r="D385" s="1052">
        <f t="shared" ref="D385:D388" si="53">-C385</f>
        <v>0</v>
      </c>
      <c r="E385" s="1184">
        <f t="shared" ref="E385:E387" si="54">C385+D385</f>
        <v>0</v>
      </c>
    </row>
    <row r="386" spans="1:5" s="1322" customFormat="1">
      <c r="A386" s="1124"/>
      <c r="B386" s="1071" t="s">
        <v>1366</v>
      </c>
      <c r="C386" s="1094">
        <v>0</v>
      </c>
      <c r="D386" s="1052">
        <f t="shared" si="53"/>
        <v>0</v>
      </c>
      <c r="E386" s="1184">
        <f t="shared" si="54"/>
        <v>0</v>
      </c>
    </row>
    <row r="387" spans="1:5" s="1322" customFormat="1">
      <c r="A387" s="1124"/>
      <c r="B387" s="1071" t="s">
        <v>1362</v>
      </c>
      <c r="C387" s="1094">
        <v>0</v>
      </c>
      <c r="D387" s="1052">
        <f t="shared" si="53"/>
        <v>0</v>
      </c>
      <c r="E387" s="1190">
        <f t="shared" si="54"/>
        <v>0</v>
      </c>
    </row>
    <row r="388" spans="1:5" s="1322" customFormat="1">
      <c r="A388" s="1124"/>
      <c r="B388" s="1071"/>
      <c r="C388" s="1095">
        <f>SUM(C385:C387)</f>
        <v>0</v>
      </c>
      <c r="D388" s="1359">
        <f t="shared" si="53"/>
        <v>0</v>
      </c>
      <c r="E388" s="1095">
        <f t="shared" ref="E388" si="55">SUM(E385:E387)</f>
        <v>0</v>
      </c>
    </row>
    <row r="389" spans="1:5" s="1322" customFormat="1">
      <c r="A389" s="1124"/>
      <c r="B389" s="1071" t="s">
        <v>1676</v>
      </c>
      <c r="C389" s="1094">
        <v>0</v>
      </c>
      <c r="D389" s="1048">
        <f>C389</f>
        <v>0</v>
      </c>
      <c r="E389" s="1184">
        <v>0</v>
      </c>
    </row>
    <row r="390" spans="1:5" s="1366" customFormat="1">
      <c r="A390" s="1124"/>
      <c r="B390" s="1153" t="s">
        <v>1512</v>
      </c>
      <c r="C390" s="1095"/>
      <c r="D390" s="1373"/>
      <c r="E390" s="1189"/>
    </row>
    <row r="391" spans="1:5" s="1366" customFormat="1">
      <c r="A391" s="1124"/>
      <c r="B391" s="1153"/>
      <c r="C391" s="1094"/>
      <c r="D391" s="1048"/>
      <c r="E391" s="1184"/>
    </row>
    <row r="392" spans="1:5" s="1322" customFormat="1">
      <c r="A392" s="1124"/>
      <c r="B392" s="1100" t="s">
        <v>1525</v>
      </c>
      <c r="C392" s="1094"/>
      <c r="D392" s="1052"/>
      <c r="E392" s="1080"/>
    </row>
    <row r="393" spans="1:5" s="1322" customFormat="1">
      <c r="A393" s="1124"/>
      <c r="B393" s="1071" t="s">
        <v>1365</v>
      </c>
      <c r="C393" s="1154">
        <v>0</v>
      </c>
      <c r="D393" s="1052">
        <f t="shared" ref="D393:D396" si="56">-C393</f>
        <v>0</v>
      </c>
      <c r="E393" s="1184">
        <f t="shared" ref="E393:E395" si="57">C393+D393</f>
        <v>0</v>
      </c>
    </row>
    <row r="394" spans="1:5" s="1322" customFormat="1">
      <c r="A394" s="1124"/>
      <c r="B394" s="1071" t="s">
        <v>1366</v>
      </c>
      <c r="C394" s="1094">
        <v>0</v>
      </c>
      <c r="D394" s="1052">
        <f t="shared" si="56"/>
        <v>0</v>
      </c>
      <c r="E394" s="1184">
        <f t="shared" si="57"/>
        <v>0</v>
      </c>
    </row>
    <row r="395" spans="1:5" s="1322" customFormat="1">
      <c r="A395" s="1124"/>
      <c r="B395" s="1071" t="s">
        <v>1362</v>
      </c>
      <c r="C395" s="1094">
        <v>0</v>
      </c>
      <c r="D395" s="1052">
        <f t="shared" si="56"/>
        <v>0</v>
      </c>
      <c r="E395" s="1190">
        <f t="shared" si="57"/>
        <v>0</v>
      </c>
    </row>
    <row r="396" spans="1:5" s="1322" customFormat="1">
      <c r="A396" s="1124"/>
      <c r="B396" s="1153"/>
      <c r="C396" s="1095">
        <f>SUM(C393:C395)</f>
        <v>0</v>
      </c>
      <c r="D396" s="1359">
        <f t="shared" si="56"/>
        <v>0</v>
      </c>
      <c r="E396" s="1095">
        <f t="shared" ref="E396" si="58">SUM(E393:E395)</f>
        <v>0</v>
      </c>
    </row>
    <row r="397" spans="1:5" s="1322" customFormat="1">
      <c r="A397" s="1124"/>
      <c r="B397" s="1071" t="s">
        <v>1676</v>
      </c>
      <c r="C397" s="1094">
        <v>0</v>
      </c>
      <c r="D397" s="1048">
        <f>C397</f>
        <v>0</v>
      </c>
      <c r="E397" s="1184">
        <v>0</v>
      </c>
    </row>
    <row r="398" spans="1:5" s="1322" customFormat="1">
      <c r="A398" s="1124"/>
      <c r="B398" s="1153" t="s">
        <v>1513</v>
      </c>
      <c r="C398" s="1095"/>
      <c r="D398" s="1373"/>
      <c r="E398" s="1189"/>
    </row>
    <row r="399" spans="1:5" s="1366" customFormat="1">
      <c r="A399" s="1124"/>
      <c r="B399" s="1071"/>
      <c r="C399" s="1094"/>
      <c r="D399" s="1048"/>
      <c r="E399" s="1184"/>
    </row>
    <row r="400" spans="1:5">
      <c r="B400" s="1102" t="s">
        <v>806</v>
      </c>
      <c r="C400" s="1180">
        <f>SUM(C342+C350+C358+C366+C374+C382+C390+C398)</f>
        <v>0</v>
      </c>
      <c r="D400" s="1180">
        <f>SUM(D342+D350+D358+D366+D374+D382+D390+D398)</f>
        <v>0</v>
      </c>
      <c r="E400" s="1156">
        <f>SUM(E335:E349)</f>
        <v>0</v>
      </c>
    </row>
    <row r="401" spans="1:7">
      <c r="B401" s="1573"/>
      <c r="C401" s="1573"/>
      <c r="D401" s="1573"/>
      <c r="E401" s="1573"/>
    </row>
    <row r="402" spans="1:7" s="1230" customFormat="1">
      <c r="A402" s="1124"/>
      <c r="B402" s="1574" t="s">
        <v>1526</v>
      </c>
      <c r="C402" s="1574"/>
      <c r="D402" s="1574"/>
      <c r="E402" s="1574"/>
    </row>
    <row r="403" spans="1:7">
      <c r="B403" s="1578" t="s">
        <v>1691</v>
      </c>
      <c r="C403" s="1578"/>
      <c r="D403" s="1578"/>
      <c r="E403" s="1578"/>
    </row>
    <row r="404" spans="1:7">
      <c r="C404" s="1201"/>
    </row>
    <row r="405" spans="1:7" s="1394" customFormat="1">
      <c r="A405" s="1124">
        <v>16</v>
      </c>
      <c r="B405" s="1041" t="s">
        <v>1679</v>
      </c>
      <c r="C405" s="1040"/>
      <c r="D405" s="1040"/>
    </row>
    <row r="406" spans="1:7" s="1394" customFormat="1">
      <c r="A406" s="1124"/>
      <c r="C406" s="1040"/>
      <c r="E406" s="1105" t="s">
        <v>1471</v>
      </c>
    </row>
    <row r="407" spans="1:7" s="1392" customFormat="1">
      <c r="A407" s="1124"/>
      <c r="B407" s="1067" t="s">
        <v>77</v>
      </c>
      <c r="C407" s="1319">
        <v>42460</v>
      </c>
      <c r="D407" s="1416" t="s">
        <v>1412</v>
      </c>
      <c r="E407" s="1395" t="s">
        <v>1474</v>
      </c>
    </row>
    <row r="408" spans="1:7" s="1394" customFormat="1">
      <c r="A408" s="1124"/>
      <c r="B408" s="1200"/>
      <c r="C408" s="1162"/>
      <c r="D408" s="1101"/>
      <c r="E408" s="1080"/>
    </row>
    <row r="409" spans="1:7" s="1230" customFormat="1">
      <c r="A409" s="1124"/>
      <c r="B409" s="1427" t="s">
        <v>1688</v>
      </c>
      <c r="C409" s="1094"/>
      <c r="D409" s="1052"/>
      <c r="E409" s="1129"/>
      <c r="G409" s="1394"/>
    </row>
    <row r="410" spans="1:7" s="1322" customFormat="1">
      <c r="A410" s="1124"/>
      <c r="B410" s="1427" t="s">
        <v>1685</v>
      </c>
      <c r="C410" s="1094">
        <v>0</v>
      </c>
      <c r="D410" s="1259">
        <v>0</v>
      </c>
      <c r="E410" s="1129">
        <f>C410+D410</f>
        <v>0</v>
      </c>
      <c r="G410" s="1394"/>
    </row>
    <row r="411" spans="1:7" s="1322" customFormat="1" ht="15.75" customHeight="1">
      <c r="A411" s="1124"/>
      <c r="B411" s="1428" t="s">
        <v>1689</v>
      </c>
      <c r="C411" s="1094"/>
      <c r="D411" s="1129"/>
      <c r="E411" s="1129"/>
    </row>
    <row r="412" spans="1:7" s="1415" customFormat="1" ht="15.75" customHeight="1">
      <c r="A412" s="1124"/>
      <c r="B412" s="1428" t="s">
        <v>1692</v>
      </c>
      <c r="C412" s="1094"/>
      <c r="D412" s="1129"/>
      <c r="E412" s="1129"/>
    </row>
    <row r="413" spans="1:7" s="1322" customFormat="1">
      <c r="A413" s="1124"/>
      <c r="B413" s="1427" t="s">
        <v>1686</v>
      </c>
      <c r="C413" s="1094">
        <v>0</v>
      </c>
      <c r="D413" s="1259">
        <v>0</v>
      </c>
      <c r="E413" s="1129">
        <f>C413+D413</f>
        <v>0</v>
      </c>
    </row>
    <row r="414" spans="1:7" s="1394" customFormat="1">
      <c r="A414" s="1124"/>
      <c r="B414" s="1422" t="s">
        <v>1687</v>
      </c>
      <c r="C414" s="1197">
        <v>0</v>
      </c>
      <c r="D414" s="1198">
        <f>-D328</f>
        <v>0</v>
      </c>
      <c r="E414" s="1199">
        <f>SUM(C414:D414)</f>
        <v>0</v>
      </c>
    </row>
    <row r="415" spans="1:7" s="1415" customFormat="1">
      <c r="A415" s="1124"/>
      <c r="B415" s="1422" t="s">
        <v>1693</v>
      </c>
      <c r="C415" s="1197"/>
      <c r="D415" s="1198"/>
      <c r="E415" s="1199"/>
    </row>
    <row r="416" spans="1:7" s="1394" customFormat="1">
      <c r="A416" s="1124"/>
      <c r="B416" s="1080"/>
      <c r="C416" s="1080"/>
      <c r="D416" s="1052"/>
      <c r="E416" s="1090"/>
    </row>
    <row r="417" spans="1:5" s="1394" customFormat="1">
      <c r="A417" s="1124"/>
      <c r="B417" s="1098" t="s">
        <v>806</v>
      </c>
      <c r="C417" s="1156">
        <f>+C414</f>
        <v>0</v>
      </c>
      <c r="D417" s="1156">
        <f t="shared" ref="D417:E417" si="59">+D414</f>
        <v>0</v>
      </c>
      <c r="E417" s="1156">
        <f t="shared" si="59"/>
        <v>0</v>
      </c>
    </row>
    <row r="418" spans="1:5" s="1394" customFormat="1">
      <c r="A418" s="1124"/>
      <c r="D418" s="1040"/>
    </row>
    <row r="419" spans="1:5" s="1394" customFormat="1">
      <c r="A419" s="1124"/>
      <c r="D419" s="1040"/>
    </row>
    <row r="420" spans="1:5">
      <c r="A420" s="1124">
        <v>17</v>
      </c>
      <c r="B420" s="1041" t="s">
        <v>1659</v>
      </c>
    </row>
    <row r="421" spans="1:5">
      <c r="D421" s="1201"/>
      <c r="E421" s="1105" t="s">
        <v>1471</v>
      </c>
    </row>
    <row r="422" spans="1:5" s="1306" customFormat="1">
      <c r="A422" s="1124"/>
      <c r="B422" s="1067" t="s">
        <v>77</v>
      </c>
      <c r="C422" s="1319">
        <v>42460</v>
      </c>
      <c r="D422" s="1308" t="s">
        <v>1410</v>
      </c>
      <c r="E422" s="1309" t="s">
        <v>1474</v>
      </c>
    </row>
    <row r="423" spans="1:5">
      <c r="B423" s="1200"/>
      <c r="C423" s="1162"/>
      <c r="D423" s="1101"/>
      <c r="E423" s="1080"/>
    </row>
    <row r="424" spans="1:5">
      <c r="B424" s="1073" t="s">
        <v>1694</v>
      </c>
      <c r="C424" s="1197">
        <v>0</v>
      </c>
      <c r="D424" s="1198">
        <f>-D348</f>
        <v>0</v>
      </c>
      <c r="E424" s="1199">
        <f>SUM(C424:D424)</f>
        <v>0</v>
      </c>
    </row>
    <row r="425" spans="1:5">
      <c r="B425" s="1080"/>
      <c r="C425" s="1080"/>
      <c r="D425" s="1052"/>
      <c r="E425" s="1090"/>
    </row>
    <row r="426" spans="1:5">
      <c r="B426" s="1098" t="s">
        <v>806</v>
      </c>
      <c r="C426" s="1156">
        <f>+C424</f>
        <v>0</v>
      </c>
      <c r="D426" s="1156">
        <f t="shared" ref="D426:E426" si="60">+D424</f>
        <v>0</v>
      </c>
      <c r="E426" s="1156">
        <f t="shared" si="60"/>
        <v>0</v>
      </c>
    </row>
    <row r="427" spans="1:5">
      <c r="C427" s="1201"/>
    </row>
    <row r="428" spans="1:5">
      <c r="B428" s="1578" t="s">
        <v>1695</v>
      </c>
      <c r="C428" s="1578"/>
      <c r="D428" s="1578"/>
      <c r="E428" s="1578"/>
    </row>
    <row r="429" spans="1:5">
      <c r="C429" s="1201"/>
    </row>
    <row r="430" spans="1:5">
      <c r="A430" s="1124">
        <f>A420+1</f>
        <v>18</v>
      </c>
      <c r="B430" s="1579" t="s">
        <v>1413</v>
      </c>
      <c r="C430" s="1579"/>
      <c r="D430" s="1201"/>
    </row>
    <row r="431" spans="1:5">
      <c r="B431" s="1075"/>
      <c r="D431" s="1201"/>
      <c r="E431" s="1105" t="s">
        <v>1471</v>
      </c>
    </row>
    <row r="432" spans="1:5" s="1362" customFormat="1">
      <c r="A432" s="1124"/>
      <c r="B432" s="1057" t="s">
        <v>77</v>
      </c>
      <c r="C432" s="1319">
        <v>42460</v>
      </c>
      <c r="D432" s="1369" t="s">
        <v>1410</v>
      </c>
      <c r="E432" s="1369" t="s">
        <v>1474</v>
      </c>
    </row>
    <row r="433" spans="1:5" s="1366" customFormat="1">
      <c r="A433" s="1124"/>
      <c r="B433" s="1099"/>
      <c r="C433" s="1162"/>
      <c r="D433" s="1101"/>
      <c r="E433" s="1080"/>
    </row>
    <row r="434" spans="1:5" s="1366" customFormat="1">
      <c r="A434" s="1124"/>
      <c r="B434" s="1100" t="s">
        <v>1522</v>
      </c>
      <c r="C434" s="1094"/>
      <c r="D434" s="1052"/>
      <c r="E434" s="1080"/>
    </row>
    <row r="435" spans="1:5" s="1366" customFormat="1">
      <c r="A435" s="1124"/>
      <c r="B435" s="1071" t="s">
        <v>1365</v>
      </c>
      <c r="C435" s="1154">
        <v>0</v>
      </c>
      <c r="D435" s="1052">
        <f t="shared" ref="D435:D438" si="61">-C435</f>
        <v>0</v>
      </c>
      <c r="E435" s="1184">
        <f t="shared" ref="E435:E437" si="62">C435+D435</f>
        <v>0</v>
      </c>
    </row>
    <row r="436" spans="1:5" s="1366" customFormat="1">
      <c r="A436" s="1124"/>
      <c r="B436" s="1071" t="s">
        <v>1366</v>
      </c>
      <c r="C436" s="1094">
        <v>0</v>
      </c>
      <c r="D436" s="1052">
        <f t="shared" si="61"/>
        <v>0</v>
      </c>
      <c r="E436" s="1184">
        <f t="shared" si="62"/>
        <v>0</v>
      </c>
    </row>
    <row r="437" spans="1:5" s="1366" customFormat="1">
      <c r="A437" s="1124"/>
      <c r="B437" s="1071" t="s">
        <v>1362</v>
      </c>
      <c r="C437" s="1094">
        <v>0</v>
      </c>
      <c r="D437" s="1052">
        <f t="shared" si="61"/>
        <v>0</v>
      </c>
      <c r="E437" s="1190">
        <f t="shared" si="62"/>
        <v>0</v>
      </c>
    </row>
    <row r="438" spans="1:5" s="1366" customFormat="1">
      <c r="A438" s="1124"/>
      <c r="B438" s="1071"/>
      <c r="C438" s="1095">
        <f>SUM(C435:C437)</f>
        <v>0</v>
      </c>
      <c r="D438" s="1096">
        <f t="shared" si="61"/>
        <v>0</v>
      </c>
      <c r="E438" s="1095">
        <f t="shared" ref="E438" si="63">SUM(E435:E437)</f>
        <v>0</v>
      </c>
    </row>
    <row r="439" spans="1:5" s="1366" customFormat="1">
      <c r="A439" s="1124"/>
      <c r="B439" s="1071" t="s">
        <v>1676</v>
      </c>
      <c r="C439" s="1094">
        <v>0</v>
      </c>
      <c r="D439" s="1052">
        <f>C439</f>
        <v>0</v>
      </c>
      <c r="E439" s="1184">
        <v>0</v>
      </c>
    </row>
    <row r="440" spans="1:5" s="1366" customFormat="1">
      <c r="A440" s="1124"/>
      <c r="B440" s="1153" t="s">
        <v>1424</v>
      </c>
      <c r="C440" s="1095"/>
      <c r="D440" s="1101"/>
      <c r="E440" s="1372"/>
    </row>
    <row r="441" spans="1:5" s="1366" customFormat="1">
      <c r="A441" s="1124"/>
      <c r="B441" s="1153"/>
      <c r="C441" s="1094"/>
      <c r="D441" s="1052"/>
      <c r="E441" s="1080"/>
    </row>
    <row r="442" spans="1:5" s="1366" customFormat="1">
      <c r="A442" s="1124"/>
      <c r="B442" s="1100" t="s">
        <v>1523</v>
      </c>
      <c r="C442" s="1094"/>
      <c r="D442" s="1052"/>
      <c r="E442" s="1080"/>
    </row>
    <row r="443" spans="1:5" s="1366" customFormat="1">
      <c r="A443" s="1124"/>
      <c r="B443" s="1071" t="s">
        <v>1365</v>
      </c>
      <c r="C443" s="1154">
        <v>0</v>
      </c>
      <c r="D443" s="1052">
        <f t="shared" ref="D443:D446" si="64">-C443</f>
        <v>0</v>
      </c>
      <c r="E443" s="1184">
        <f t="shared" ref="E443:E445" si="65">C443+D443</f>
        <v>0</v>
      </c>
    </row>
    <row r="444" spans="1:5" s="1366" customFormat="1">
      <c r="A444" s="1124"/>
      <c r="B444" s="1071" t="s">
        <v>1366</v>
      </c>
      <c r="C444" s="1094">
        <v>0</v>
      </c>
      <c r="D444" s="1052">
        <f t="shared" si="64"/>
        <v>0</v>
      </c>
      <c r="E444" s="1184">
        <f t="shared" si="65"/>
        <v>0</v>
      </c>
    </row>
    <row r="445" spans="1:5" s="1366" customFormat="1">
      <c r="A445" s="1124"/>
      <c r="B445" s="1071" t="s">
        <v>1362</v>
      </c>
      <c r="C445" s="1094">
        <v>0</v>
      </c>
      <c r="D445" s="1052">
        <f t="shared" si="64"/>
        <v>0</v>
      </c>
      <c r="E445" s="1190">
        <f t="shared" si="65"/>
        <v>0</v>
      </c>
    </row>
    <row r="446" spans="1:5" s="1366" customFormat="1">
      <c r="A446" s="1124"/>
      <c r="B446" s="1071"/>
      <c r="C446" s="1095">
        <f>SUM(C443:C445)</f>
        <v>0</v>
      </c>
      <c r="D446" s="1359">
        <f t="shared" si="64"/>
        <v>0</v>
      </c>
      <c r="E446" s="1095">
        <f t="shared" ref="E446" si="66">SUM(E443:E445)</f>
        <v>0</v>
      </c>
    </row>
    <row r="447" spans="1:5" s="1366" customFormat="1">
      <c r="A447" s="1124"/>
      <c r="B447" s="1071" t="s">
        <v>1676</v>
      </c>
      <c r="C447" s="1094">
        <v>0</v>
      </c>
      <c r="D447" s="1048">
        <f>C447</f>
        <v>0</v>
      </c>
      <c r="E447" s="1184">
        <v>0</v>
      </c>
    </row>
    <row r="448" spans="1:5" s="1366" customFormat="1">
      <c r="A448" s="1124"/>
      <c r="B448" s="1153" t="s">
        <v>1425</v>
      </c>
      <c r="C448" s="1095"/>
      <c r="D448" s="1373"/>
      <c r="E448" s="1189"/>
    </row>
    <row r="449" spans="1:5" s="1366" customFormat="1">
      <c r="A449" s="1124"/>
      <c r="B449" s="1071"/>
      <c r="C449" s="1094"/>
      <c r="D449" s="1048"/>
      <c r="E449" s="1184"/>
    </row>
    <row r="450" spans="1:5" s="1366" customFormat="1">
      <c r="A450" s="1124"/>
      <c r="B450" s="1100" t="s">
        <v>1515</v>
      </c>
      <c r="C450" s="1094"/>
      <c r="D450" s="1052"/>
      <c r="E450" s="1080"/>
    </row>
    <row r="451" spans="1:5" s="1366" customFormat="1">
      <c r="A451" s="1124"/>
      <c r="B451" s="1071" t="s">
        <v>1365</v>
      </c>
      <c r="C451" s="1154">
        <v>0</v>
      </c>
      <c r="D451" s="1052">
        <f t="shared" ref="D451:D454" si="67">-C451</f>
        <v>0</v>
      </c>
      <c r="E451" s="1184">
        <f t="shared" ref="E451:E453" si="68">C451+D451</f>
        <v>0</v>
      </c>
    </row>
    <row r="452" spans="1:5" s="1366" customFormat="1">
      <c r="A452" s="1124"/>
      <c r="B452" s="1071" t="s">
        <v>1366</v>
      </c>
      <c r="C452" s="1094">
        <v>0</v>
      </c>
      <c r="D452" s="1052">
        <f t="shared" si="67"/>
        <v>0</v>
      </c>
      <c r="E452" s="1184">
        <f t="shared" si="68"/>
        <v>0</v>
      </c>
    </row>
    <row r="453" spans="1:5" s="1366" customFormat="1">
      <c r="A453" s="1124"/>
      <c r="B453" s="1071" t="s">
        <v>1362</v>
      </c>
      <c r="C453" s="1094">
        <v>0</v>
      </c>
      <c r="D453" s="1052">
        <f t="shared" si="67"/>
        <v>0</v>
      </c>
      <c r="E453" s="1190">
        <f t="shared" si="68"/>
        <v>0</v>
      </c>
    </row>
    <row r="454" spans="1:5" s="1366" customFormat="1">
      <c r="A454" s="1124"/>
      <c r="B454" s="1071"/>
      <c r="C454" s="1095">
        <f>SUM(C451:C453)</f>
        <v>0</v>
      </c>
      <c r="D454" s="1096">
        <f t="shared" si="67"/>
        <v>0</v>
      </c>
      <c r="E454" s="1095">
        <f t="shared" ref="E454" si="69">SUM(E451:E453)</f>
        <v>0</v>
      </c>
    </row>
    <row r="455" spans="1:5" s="1366" customFormat="1">
      <c r="A455" s="1124"/>
      <c r="B455" s="1071" t="s">
        <v>1676</v>
      </c>
      <c r="C455" s="1094">
        <v>0</v>
      </c>
      <c r="D455" s="1052">
        <f>C455</f>
        <v>0</v>
      </c>
      <c r="E455" s="1184">
        <v>0</v>
      </c>
    </row>
    <row r="456" spans="1:5" s="1366" customFormat="1">
      <c r="A456" s="1124"/>
      <c r="B456" s="1153" t="s">
        <v>1432</v>
      </c>
      <c r="C456" s="1095"/>
      <c r="D456" s="1101"/>
      <c r="E456" s="1372"/>
    </row>
    <row r="457" spans="1:5" s="1366" customFormat="1">
      <c r="A457" s="1124"/>
      <c r="B457" s="1100" t="s">
        <v>1527</v>
      </c>
      <c r="C457" s="1094"/>
      <c r="D457" s="1052"/>
      <c r="E457" s="1080"/>
    </row>
    <row r="458" spans="1:5" s="1366" customFormat="1">
      <c r="A458" s="1124"/>
      <c r="B458" s="1071" t="s">
        <v>1365</v>
      </c>
      <c r="C458" s="1154">
        <v>0</v>
      </c>
      <c r="D458" s="1052">
        <f t="shared" ref="D458:D460" si="70">-C458</f>
        <v>0</v>
      </c>
      <c r="E458" s="1184">
        <f t="shared" ref="E458:E460" si="71">C458+D458</f>
        <v>0</v>
      </c>
    </row>
    <row r="459" spans="1:5" s="1366" customFormat="1">
      <c r="A459" s="1124"/>
      <c r="B459" s="1071" t="s">
        <v>1366</v>
      </c>
      <c r="C459" s="1094">
        <v>0</v>
      </c>
      <c r="D459" s="1052">
        <f t="shared" si="70"/>
        <v>0</v>
      </c>
      <c r="E459" s="1184">
        <f t="shared" si="71"/>
        <v>0</v>
      </c>
    </row>
    <row r="460" spans="1:5" s="1366" customFormat="1">
      <c r="A460" s="1124"/>
      <c r="B460" s="1071" t="s">
        <v>1362</v>
      </c>
      <c r="C460" s="1094">
        <v>0</v>
      </c>
      <c r="D460" s="1052">
        <f t="shared" si="70"/>
        <v>0</v>
      </c>
      <c r="E460" s="1190">
        <f t="shared" si="71"/>
        <v>0</v>
      </c>
    </row>
    <row r="461" spans="1:5" s="1366" customFormat="1">
      <c r="A461" s="1124"/>
      <c r="B461" s="1153"/>
      <c r="C461" s="1095">
        <f>SUM(C458:C460)</f>
        <v>0</v>
      </c>
      <c r="D461" s="1359">
        <f>-C461</f>
        <v>0</v>
      </c>
      <c r="E461" s="1095">
        <f t="shared" ref="E461" si="72">SUM(E458:E460)</f>
        <v>0</v>
      </c>
    </row>
    <row r="462" spans="1:5" s="1366" customFormat="1">
      <c r="A462" s="1124"/>
      <c r="B462" s="1071" t="s">
        <v>1676</v>
      </c>
      <c r="C462" s="1094">
        <v>0</v>
      </c>
      <c r="D462" s="1048">
        <f>C462</f>
        <v>0</v>
      </c>
      <c r="E462" s="1184">
        <v>0</v>
      </c>
    </row>
    <row r="463" spans="1:5" s="1366" customFormat="1">
      <c r="A463" s="1124"/>
      <c r="B463" s="1153" t="s">
        <v>1431</v>
      </c>
      <c r="C463" s="1095"/>
      <c r="D463" s="1095"/>
      <c r="E463" s="1189"/>
    </row>
    <row r="464" spans="1:5" s="1366" customFormat="1">
      <c r="A464" s="1124"/>
      <c r="B464" s="1100" t="s">
        <v>1528</v>
      </c>
      <c r="C464" s="1094"/>
      <c r="D464" s="1048"/>
      <c r="E464" s="1184"/>
    </row>
    <row r="465" spans="1:5" s="1366" customFormat="1">
      <c r="A465" s="1124"/>
      <c r="B465" s="1071" t="s">
        <v>1529</v>
      </c>
      <c r="C465" s="1094">
        <v>0</v>
      </c>
      <c r="D465" s="1048">
        <v>0</v>
      </c>
      <c r="E465" s="1184">
        <v>0</v>
      </c>
    </row>
    <row r="466" spans="1:5" s="1366" customFormat="1">
      <c r="A466" s="1124"/>
      <c r="B466" s="1071" t="s">
        <v>1530</v>
      </c>
      <c r="C466" s="1094">
        <v>0</v>
      </c>
      <c r="D466" s="1048">
        <v>0</v>
      </c>
      <c r="E466" s="1184">
        <v>0</v>
      </c>
    </row>
    <row r="467" spans="1:5" s="1366" customFormat="1">
      <c r="A467" s="1124"/>
      <c r="B467" s="1071" t="s">
        <v>1531</v>
      </c>
      <c r="C467" s="1094">
        <v>0</v>
      </c>
      <c r="D467" s="1048">
        <v>0</v>
      </c>
      <c r="E467" s="1184">
        <v>0</v>
      </c>
    </row>
    <row r="468" spans="1:5" s="1366" customFormat="1">
      <c r="A468" s="1124"/>
      <c r="B468" s="1071" t="s">
        <v>1532</v>
      </c>
      <c r="C468" s="1094">
        <v>0</v>
      </c>
      <c r="D468" s="1048">
        <v>0</v>
      </c>
      <c r="E468" s="1184">
        <v>0</v>
      </c>
    </row>
    <row r="469" spans="1:5" s="1366" customFormat="1">
      <c r="A469" s="1124"/>
      <c r="B469" s="1071" t="s">
        <v>1533</v>
      </c>
      <c r="C469" s="1094">
        <v>0</v>
      </c>
      <c r="D469" s="1048">
        <v>0</v>
      </c>
      <c r="E469" s="1184">
        <v>0</v>
      </c>
    </row>
    <row r="470" spans="1:5" s="1366" customFormat="1">
      <c r="A470" s="1124"/>
      <c r="B470" s="1071" t="s">
        <v>1534</v>
      </c>
      <c r="C470" s="1094">
        <v>0</v>
      </c>
      <c r="D470" s="1048">
        <v>0</v>
      </c>
      <c r="E470" s="1184">
        <v>0</v>
      </c>
    </row>
    <row r="471" spans="1:5" s="1366" customFormat="1">
      <c r="A471" s="1124"/>
      <c r="B471" s="1071" t="s">
        <v>1535</v>
      </c>
      <c r="C471" s="1094">
        <v>0</v>
      </c>
      <c r="D471" s="1048">
        <v>0</v>
      </c>
      <c r="E471" s="1184">
        <v>0</v>
      </c>
    </row>
    <row r="472" spans="1:5" s="1366" customFormat="1">
      <c r="A472" s="1124"/>
      <c r="B472" s="1071" t="s">
        <v>1536</v>
      </c>
      <c r="C472" s="1094">
        <v>0</v>
      </c>
      <c r="D472" s="1048">
        <v>0</v>
      </c>
      <c r="E472" s="1184">
        <v>0</v>
      </c>
    </row>
    <row r="473" spans="1:5" s="1366" customFormat="1">
      <c r="A473" s="1124"/>
      <c r="B473" s="1071" t="s">
        <v>1537</v>
      </c>
      <c r="C473" s="1094">
        <v>0</v>
      </c>
      <c r="D473" s="1048">
        <v>0</v>
      </c>
      <c r="E473" s="1184">
        <v>0</v>
      </c>
    </row>
    <row r="474" spans="1:5" s="1366" customFormat="1">
      <c r="A474" s="1124"/>
      <c r="B474" s="1071" t="s">
        <v>1538</v>
      </c>
      <c r="C474" s="1094">
        <v>0</v>
      </c>
      <c r="D474" s="1048">
        <v>0</v>
      </c>
      <c r="E474" s="1184">
        <v>0</v>
      </c>
    </row>
    <row r="475" spans="1:5" s="1366" customFormat="1">
      <c r="A475" s="1124"/>
      <c r="B475" s="1071" t="s">
        <v>1539</v>
      </c>
      <c r="C475" s="1094">
        <v>0</v>
      </c>
      <c r="D475" s="1048">
        <v>0</v>
      </c>
      <c r="E475" s="1184">
        <v>0</v>
      </c>
    </row>
    <row r="476" spans="1:5" s="1366" customFormat="1">
      <c r="A476" s="1124"/>
      <c r="B476" s="1071" t="s">
        <v>1540</v>
      </c>
      <c r="C476" s="1094">
        <v>0</v>
      </c>
      <c r="D476" s="1048">
        <v>0</v>
      </c>
      <c r="E476" s="1184">
        <v>0</v>
      </c>
    </row>
    <row r="477" spans="1:5" s="1366" customFormat="1">
      <c r="A477" s="1124"/>
      <c r="B477" s="1071" t="s">
        <v>1541</v>
      </c>
      <c r="C477" s="1094">
        <v>0</v>
      </c>
      <c r="D477" s="1048">
        <v>0</v>
      </c>
      <c r="E477" s="1184">
        <v>0</v>
      </c>
    </row>
    <row r="478" spans="1:5" s="1366" customFormat="1">
      <c r="A478" s="1124"/>
      <c r="B478" s="1071" t="s">
        <v>1542</v>
      </c>
      <c r="C478" s="1094">
        <v>0</v>
      </c>
      <c r="D478" s="1048">
        <v>0</v>
      </c>
      <c r="E478" s="1184">
        <v>0</v>
      </c>
    </row>
    <row r="479" spans="1:5" s="1366" customFormat="1">
      <c r="A479" s="1124"/>
      <c r="B479" s="1153" t="s">
        <v>1503</v>
      </c>
      <c r="C479" s="1095">
        <f>SUM(C465:C478)</f>
        <v>0</v>
      </c>
      <c r="D479" s="1095">
        <f t="shared" ref="D479:E479" si="73">SUM(D465:D478)</f>
        <v>0</v>
      </c>
      <c r="E479" s="1095">
        <f t="shared" si="73"/>
        <v>0</v>
      </c>
    </row>
    <row r="480" spans="1:5" s="1366" customFormat="1">
      <c r="A480" s="1124"/>
      <c r="B480" s="1071"/>
      <c r="C480" s="1094"/>
      <c r="D480" s="1048"/>
      <c r="E480" s="1184"/>
    </row>
    <row r="481" spans="1:6" s="1366" customFormat="1">
      <c r="A481" s="1124"/>
      <c r="B481" s="1102" t="s">
        <v>806</v>
      </c>
      <c r="C481" s="1180">
        <f>C440+C448+C456+C463+C479</f>
        <v>0</v>
      </c>
      <c r="D481" s="1180">
        <f>D440+D448+D456+D463+D479</f>
        <v>0</v>
      </c>
      <c r="E481" s="1156">
        <f>SUM(E433:E447)</f>
        <v>0</v>
      </c>
    </row>
    <row r="482" spans="1:6">
      <c r="B482" s="1573"/>
      <c r="C482" s="1573"/>
      <c r="D482" s="1573"/>
      <c r="E482" s="1573"/>
    </row>
    <row r="483" spans="1:6" s="1254" customFormat="1" ht="15.75" customHeight="1">
      <c r="A483" s="1124"/>
      <c r="B483" s="1574" t="s">
        <v>1543</v>
      </c>
      <c r="C483" s="1574"/>
      <c r="D483" s="1574"/>
      <c r="E483" s="1574"/>
    </row>
    <row r="484" spans="1:6" s="1254" customFormat="1">
      <c r="A484" s="1124"/>
      <c r="B484" s="1366"/>
      <c r="C484" s="1366"/>
      <c r="D484" s="1048"/>
      <c r="E484" s="1366"/>
    </row>
    <row r="485" spans="1:6">
      <c r="F485" s="1262"/>
    </row>
    <row r="486" spans="1:6">
      <c r="A486" s="1124">
        <v>19</v>
      </c>
      <c r="B486" s="1413" t="s">
        <v>1722</v>
      </c>
      <c r="C486" s="1030"/>
      <c r="D486" s="1030"/>
      <c r="F486" s="1262"/>
    </row>
    <row r="487" spans="1:6">
      <c r="B487" s="1262"/>
      <c r="C487" s="1030"/>
      <c r="D487" s="1105" t="s">
        <v>1471</v>
      </c>
      <c r="F487" s="1262"/>
    </row>
    <row r="488" spans="1:6">
      <c r="B488" s="1067" t="s">
        <v>77</v>
      </c>
      <c r="C488" s="1580" t="s">
        <v>1474</v>
      </c>
      <c r="D488" s="1581"/>
      <c r="F488" s="1262"/>
    </row>
    <row r="489" spans="1:6">
      <c r="A489" s="1132"/>
      <c r="B489" s="1056"/>
      <c r="C489" s="1056"/>
      <c r="D489" s="1055"/>
      <c r="E489" s="1054"/>
      <c r="F489" s="1262"/>
    </row>
    <row r="490" spans="1:6">
      <c r="B490" s="1085" t="s">
        <v>1339</v>
      </c>
      <c r="C490" s="1080"/>
      <c r="D490" s="1050"/>
    </row>
    <row r="491" spans="1:6">
      <c r="B491" s="1307" t="s">
        <v>1485</v>
      </c>
      <c r="C491" s="1085"/>
      <c r="D491" s="1031">
        <v>0</v>
      </c>
    </row>
    <row r="492" spans="1:6">
      <c r="B492" s="1085"/>
      <c r="C492" s="973"/>
      <c r="D492" s="1032">
        <f>D491</f>
        <v>0</v>
      </c>
    </row>
    <row r="493" spans="1:6">
      <c r="B493" s="1085"/>
      <c r="C493" s="1085"/>
      <c r="D493" s="1033"/>
    </row>
    <row r="494" spans="1:6">
      <c r="B494" s="1085" t="s">
        <v>1340</v>
      </c>
      <c r="C494" s="1085"/>
      <c r="D494" s="1042"/>
    </row>
    <row r="495" spans="1:6">
      <c r="B495" s="1307" t="s">
        <v>1485</v>
      </c>
      <c r="C495" s="1085"/>
      <c r="D495" s="1031">
        <v>0</v>
      </c>
    </row>
    <row r="496" spans="1:6">
      <c r="B496" s="1085"/>
      <c r="C496" s="1085"/>
      <c r="D496" s="1031"/>
    </row>
    <row r="497" spans="1:5">
      <c r="B497" s="1209" t="s">
        <v>806</v>
      </c>
      <c r="C497" s="973"/>
      <c r="D497" s="1032">
        <f>D495</f>
        <v>0</v>
      </c>
    </row>
    <row r="498" spans="1:5">
      <c r="B498" s="1022"/>
      <c r="C498" s="1034"/>
      <c r="D498" s="1034"/>
    </row>
    <row r="499" spans="1:5">
      <c r="B499" s="1022"/>
      <c r="C499" s="1030"/>
      <c r="D499" s="1030"/>
    </row>
    <row r="500" spans="1:5">
      <c r="B500" s="1201" t="s">
        <v>1344</v>
      </c>
      <c r="C500" s="1106"/>
    </row>
    <row r="501" spans="1:5">
      <c r="B501" s="1107"/>
      <c r="C501" s="1108"/>
    </row>
    <row r="502" spans="1:5">
      <c r="B502" s="1057" t="s">
        <v>77</v>
      </c>
      <c r="C502" s="1059" t="s">
        <v>1347</v>
      </c>
      <c r="D502" s="1059" t="s">
        <v>1341</v>
      </c>
    </row>
    <row r="503" spans="1:5">
      <c r="B503" s="1058"/>
      <c r="C503" s="1062"/>
      <c r="D503" s="1061"/>
      <c r="E503" s="1054"/>
    </row>
    <row r="504" spans="1:5">
      <c r="B504" s="1085" t="s">
        <v>1346</v>
      </c>
      <c r="C504" s="1127">
        <v>0</v>
      </c>
      <c r="D504" s="1065">
        <v>0</v>
      </c>
    </row>
    <row r="505" spans="1:5">
      <c r="B505" s="1085"/>
      <c r="C505" s="1064"/>
      <c r="D505" s="1066"/>
    </row>
    <row r="506" spans="1:5">
      <c r="B506" s="973" t="s">
        <v>806</v>
      </c>
      <c r="C506" s="1060">
        <f>C504</f>
        <v>0</v>
      </c>
      <c r="D506" s="1060">
        <f>D504</f>
        <v>0</v>
      </c>
    </row>
    <row r="508" spans="1:5">
      <c r="B508" s="1201" t="s">
        <v>1345</v>
      </c>
    </row>
    <row r="510" spans="1:5">
      <c r="B510" s="1057" t="s">
        <v>77</v>
      </c>
      <c r="C510" s="1582" t="s">
        <v>1342</v>
      </c>
      <c r="D510" s="1582"/>
    </row>
    <row r="511" spans="1:5">
      <c r="B511" s="973"/>
      <c r="C511" s="1218" t="s">
        <v>813</v>
      </c>
      <c r="D511" s="1218" t="s">
        <v>1470</v>
      </c>
    </row>
    <row r="512" spans="1:5" s="1391" customFormat="1">
      <c r="A512" s="1124"/>
      <c r="B512" s="1398" t="s">
        <v>1609</v>
      </c>
      <c r="C512" s="1399"/>
      <c r="D512" s="1218"/>
    </row>
    <row r="513" spans="1:5" s="1391" customFormat="1">
      <c r="A513" s="1124"/>
      <c r="B513" s="1398" t="s">
        <v>1610</v>
      </c>
      <c r="C513" s="1399"/>
      <c r="D513" s="1218"/>
    </row>
    <row r="514" spans="1:5">
      <c r="B514" s="1044" t="s">
        <v>1611</v>
      </c>
      <c r="C514" s="1376">
        <v>0</v>
      </c>
      <c r="D514" s="1043">
        <v>0</v>
      </c>
    </row>
    <row r="515" spans="1:5">
      <c r="B515" s="1045"/>
      <c r="C515" s="1046"/>
      <c r="D515" s="1046"/>
    </row>
    <row r="517" spans="1:5">
      <c r="A517" s="1124">
        <f>A486+1</f>
        <v>20</v>
      </c>
      <c r="B517" s="1401" t="s">
        <v>1414</v>
      </c>
      <c r="C517" s="1048"/>
      <c r="D517" s="1048"/>
      <c r="E517" s="1047"/>
    </row>
    <row r="518" spans="1:5">
      <c r="B518" s="1029"/>
      <c r="C518" s="1048"/>
      <c r="D518" s="1105"/>
      <c r="E518" s="1105" t="s">
        <v>1471</v>
      </c>
    </row>
    <row r="519" spans="1:5">
      <c r="B519" s="1067" t="s">
        <v>77</v>
      </c>
      <c r="C519" s="1319">
        <v>42460</v>
      </c>
      <c r="D519" s="1146" t="s">
        <v>1287</v>
      </c>
      <c r="E519" s="1146" t="s">
        <v>1474</v>
      </c>
    </row>
    <row r="520" spans="1:5">
      <c r="B520" s="1085"/>
      <c r="C520" s="1175"/>
      <c r="D520" s="1049"/>
      <c r="E520" s="1080"/>
    </row>
    <row r="521" spans="1:5">
      <c r="B521" s="1210" t="s">
        <v>1409</v>
      </c>
      <c r="C521" s="1065"/>
      <c r="D521" s="1052"/>
      <c r="E521" s="1080"/>
    </row>
    <row r="522" spans="1:5">
      <c r="B522" s="1085" t="s">
        <v>613</v>
      </c>
      <c r="C522" s="1066">
        <v>0</v>
      </c>
      <c r="D522" s="1082">
        <f>-C522</f>
        <v>0</v>
      </c>
      <c r="E522" s="1190">
        <f>C522+D522</f>
        <v>0</v>
      </c>
    </row>
    <row r="523" spans="1:5">
      <c r="B523" s="1085"/>
      <c r="C523" s="1176"/>
      <c r="D523" s="1052"/>
      <c r="E523" s="1080"/>
    </row>
    <row r="524" spans="1:5">
      <c r="B524" s="1210" t="s">
        <v>1544</v>
      </c>
      <c r="C524" s="1065"/>
      <c r="D524" s="1052"/>
      <c r="E524" s="1080"/>
    </row>
    <row r="525" spans="1:5">
      <c r="B525" s="1085" t="s">
        <v>613</v>
      </c>
      <c r="C525" s="1066">
        <v>0</v>
      </c>
      <c r="D525" s="1082">
        <f>-C525</f>
        <v>0</v>
      </c>
      <c r="E525" s="1190">
        <f>C525+D525</f>
        <v>0</v>
      </c>
    </row>
    <row r="526" spans="1:5">
      <c r="B526" s="1085"/>
      <c r="C526" s="1065"/>
      <c r="D526" s="1052"/>
      <c r="E526" s="1080"/>
    </row>
    <row r="527" spans="1:5" s="1366" customFormat="1">
      <c r="A527" s="1124"/>
      <c r="B527" s="1210" t="s">
        <v>1628</v>
      </c>
      <c r="C527" s="1065"/>
      <c r="D527" s="1052"/>
      <c r="E527" s="1080"/>
    </row>
    <row r="528" spans="1:5" s="1366" customFormat="1">
      <c r="A528" s="1124"/>
      <c r="B528" s="1363" t="s">
        <v>613</v>
      </c>
      <c r="C528" s="1066">
        <v>0</v>
      </c>
      <c r="D528" s="1082">
        <f>-D520-D523</f>
        <v>0</v>
      </c>
      <c r="E528" s="1190">
        <f>C528+D528</f>
        <v>0</v>
      </c>
    </row>
    <row r="529" spans="1:7" s="1366" customFormat="1">
      <c r="A529" s="1124"/>
      <c r="B529" s="1363"/>
      <c r="C529" s="1065"/>
      <c r="D529" s="1052"/>
      <c r="E529" s="1184"/>
    </row>
    <row r="530" spans="1:7">
      <c r="B530" s="1210" t="s">
        <v>1545</v>
      </c>
      <c r="C530" s="1065"/>
      <c r="D530" s="1052"/>
      <c r="E530" s="1080"/>
    </row>
    <row r="531" spans="1:7">
      <c r="B531" s="1085" t="s">
        <v>613</v>
      </c>
      <c r="C531" s="1066">
        <v>0</v>
      </c>
      <c r="D531" s="1082">
        <f>-D522-D525</f>
        <v>0</v>
      </c>
      <c r="E531" s="1190">
        <f>C531+D531</f>
        <v>0</v>
      </c>
    </row>
    <row r="532" spans="1:7">
      <c r="B532" s="1085"/>
      <c r="C532" s="1065"/>
      <c r="D532" s="1052"/>
      <c r="E532" s="1080"/>
    </row>
    <row r="533" spans="1:7" s="1366" customFormat="1">
      <c r="A533" s="1124"/>
      <c r="B533" s="1210" t="s">
        <v>844</v>
      </c>
      <c r="C533" s="1065"/>
      <c r="D533" s="1052"/>
      <c r="E533" s="1080"/>
    </row>
    <row r="534" spans="1:7" s="1366" customFormat="1">
      <c r="A534" s="1124"/>
      <c r="B534" s="1363" t="s">
        <v>613</v>
      </c>
      <c r="C534" s="1065">
        <v>0</v>
      </c>
      <c r="D534" s="1082">
        <f>-D525-D528</f>
        <v>0</v>
      </c>
      <c r="E534" s="1190">
        <f>C534+D534</f>
        <v>0</v>
      </c>
    </row>
    <row r="535" spans="1:7" s="1366" customFormat="1">
      <c r="A535" s="1124"/>
      <c r="B535" s="1363"/>
      <c r="C535" s="1096"/>
      <c r="D535" s="1052"/>
      <c r="E535" s="1080"/>
    </row>
    <row r="536" spans="1:7">
      <c r="B536" s="1210" t="s">
        <v>1629</v>
      </c>
      <c r="C536" s="1065"/>
      <c r="D536" s="1052"/>
      <c r="E536" s="1080"/>
    </row>
    <row r="537" spans="1:7">
      <c r="B537" s="1085" t="s">
        <v>613</v>
      </c>
      <c r="C537" s="1065">
        <v>0</v>
      </c>
      <c r="D537" s="1052">
        <f>-D741-D742</f>
        <v>0</v>
      </c>
      <c r="E537" s="1184">
        <f>C537+D537</f>
        <v>0</v>
      </c>
    </row>
    <row r="538" spans="1:7" s="1391" customFormat="1">
      <c r="A538" s="1124"/>
      <c r="B538" s="1384"/>
      <c r="C538" s="1096"/>
      <c r="D538" s="1101"/>
      <c r="E538" s="1372"/>
    </row>
    <row r="539" spans="1:7" s="1391" customFormat="1">
      <c r="A539" s="1124"/>
      <c r="B539" s="1210" t="s">
        <v>1619</v>
      </c>
      <c r="C539" s="1065"/>
      <c r="D539" s="1052"/>
      <c r="E539" s="1080"/>
    </row>
    <row r="540" spans="1:7" s="1391" customFormat="1">
      <c r="A540" s="1124"/>
      <c r="B540" s="1384" t="s">
        <v>613</v>
      </c>
      <c r="C540" s="1066">
        <v>0</v>
      </c>
      <c r="D540" s="1082">
        <f>-D531-D534</f>
        <v>0</v>
      </c>
      <c r="E540" s="1190">
        <f>C540+D540</f>
        <v>0</v>
      </c>
    </row>
    <row r="541" spans="1:7" s="1391" customFormat="1">
      <c r="A541" s="1124"/>
      <c r="B541" s="1384"/>
      <c r="C541" s="1066"/>
      <c r="D541" s="1052"/>
      <c r="E541" s="1188"/>
    </row>
    <row r="542" spans="1:7">
      <c r="B542" s="1204" t="s">
        <v>1343</v>
      </c>
      <c r="C542" s="1400">
        <f>SUM(C520:C540)</f>
        <v>0</v>
      </c>
      <c r="D542" s="1212">
        <f>SUM(D520:D540)</f>
        <v>0</v>
      </c>
      <c r="E542" s="1212">
        <f>SUM(E520:E540)</f>
        <v>0</v>
      </c>
      <c r="G542" s="1304"/>
    </row>
    <row r="543" spans="1:7">
      <c r="A543" s="1240"/>
      <c r="C543" s="1053"/>
      <c r="D543" s="1053"/>
      <c r="E543" s="1047"/>
    </row>
    <row r="544" spans="1:7" s="1366" customFormat="1">
      <c r="A544" s="1124"/>
      <c r="B544" s="1205"/>
      <c r="C544" s="1193"/>
      <c r="D544" s="1193"/>
      <c r="E544" s="1193"/>
    </row>
    <row r="545" spans="1:5">
      <c r="A545" s="1124">
        <v>21</v>
      </c>
      <c r="B545" s="1205" t="s">
        <v>1407</v>
      </c>
    </row>
    <row r="546" spans="1:5">
      <c r="C546" s="1201"/>
      <c r="E546" s="1105" t="s">
        <v>1471</v>
      </c>
    </row>
    <row r="547" spans="1:5">
      <c r="B547" s="1067" t="s">
        <v>77</v>
      </c>
      <c r="C547" s="1319">
        <v>42460</v>
      </c>
      <c r="D547" s="1138" t="s">
        <v>1412</v>
      </c>
      <c r="E547" s="1138" t="s">
        <v>1474</v>
      </c>
    </row>
    <row r="548" spans="1:5">
      <c r="B548" s="1085"/>
      <c r="C548" s="1165"/>
      <c r="D548" s="1035"/>
      <c r="E548" s="1147"/>
    </row>
    <row r="549" spans="1:5">
      <c r="B549" s="1363" t="s">
        <v>1546</v>
      </c>
      <c r="C549" s="1031">
        <v>0</v>
      </c>
      <c r="D549" s="1069">
        <v>0</v>
      </c>
      <c r="E549" s="1188">
        <f>C549+D549</f>
        <v>0</v>
      </c>
    </row>
    <row r="550" spans="1:5" s="1415" customFormat="1">
      <c r="A550" s="1124"/>
      <c r="B550" s="1071" t="s">
        <v>1719</v>
      </c>
      <c r="C550" s="1031"/>
      <c r="D550" s="1069"/>
      <c r="E550" s="1188"/>
    </row>
    <row r="551" spans="1:5" s="1415" customFormat="1">
      <c r="A551" s="1124"/>
      <c r="B551" s="1071" t="s">
        <v>1720</v>
      </c>
      <c r="C551" s="1031"/>
      <c r="D551" s="1069"/>
      <c r="E551" s="1188"/>
    </row>
    <row r="552" spans="1:5" s="1415" customFormat="1">
      <c r="A552" s="1124"/>
      <c r="B552" s="1071" t="s">
        <v>1721</v>
      </c>
      <c r="C552" s="1031"/>
      <c r="D552" s="1069"/>
      <c r="E552" s="1188"/>
    </row>
    <row r="553" spans="1:5" s="1415" customFormat="1">
      <c r="A553" s="1124"/>
      <c r="B553" s="1414"/>
      <c r="C553" s="1031"/>
      <c r="D553" s="1069"/>
      <c r="E553" s="1188"/>
    </row>
    <row r="554" spans="1:5">
      <c r="B554" s="1393" t="s">
        <v>1660</v>
      </c>
      <c r="C554" s="1031">
        <v>0</v>
      </c>
      <c r="D554" s="1069">
        <v>0</v>
      </c>
      <c r="E554" s="1188">
        <f t="shared" ref="E554:E560" si="74">C554+D554</f>
        <v>0</v>
      </c>
    </row>
    <row r="555" spans="1:5" s="1366" customFormat="1">
      <c r="A555" s="1124"/>
      <c r="B555" s="1363" t="s">
        <v>1547</v>
      </c>
      <c r="C555" s="1031">
        <v>0</v>
      </c>
      <c r="D555" s="1069">
        <v>0</v>
      </c>
      <c r="E555" s="1188">
        <f t="shared" si="74"/>
        <v>0</v>
      </c>
    </row>
    <row r="556" spans="1:5" s="1415" customFormat="1">
      <c r="A556" s="1124"/>
      <c r="B556" s="1071" t="s">
        <v>1719</v>
      </c>
      <c r="C556" s="1031"/>
      <c r="D556" s="1069"/>
      <c r="E556" s="1188"/>
    </row>
    <row r="557" spans="1:5" s="1415" customFormat="1">
      <c r="A557" s="1124"/>
      <c r="B557" s="1071" t="s">
        <v>1720</v>
      </c>
      <c r="C557" s="1031"/>
      <c r="D557" s="1069"/>
      <c r="E557" s="1188"/>
    </row>
    <row r="558" spans="1:5" s="1415" customFormat="1">
      <c r="A558" s="1124"/>
      <c r="B558" s="1071" t="s">
        <v>1721</v>
      </c>
      <c r="C558" s="1031"/>
      <c r="D558" s="1069"/>
      <c r="E558" s="1188"/>
    </row>
    <row r="559" spans="1:5" s="1415" customFormat="1">
      <c r="A559" s="1124"/>
      <c r="B559" s="1414"/>
      <c r="C559" s="1031"/>
      <c r="D559" s="1069"/>
      <c r="E559" s="1188"/>
    </row>
    <row r="560" spans="1:5" s="1366" customFormat="1">
      <c r="A560" s="1124"/>
      <c r="B560" s="1363" t="s">
        <v>1548</v>
      </c>
      <c r="C560" s="1031">
        <v>0</v>
      </c>
      <c r="D560" s="1069">
        <v>0</v>
      </c>
      <c r="E560" s="1188">
        <f t="shared" si="74"/>
        <v>0</v>
      </c>
    </row>
    <row r="561" spans="1:5" s="1415" customFormat="1">
      <c r="A561" s="1124"/>
      <c r="B561" s="1071" t="s">
        <v>1719</v>
      </c>
      <c r="C561" s="1031"/>
      <c r="D561" s="1069"/>
      <c r="E561" s="1188"/>
    </row>
    <row r="562" spans="1:5" s="1415" customFormat="1">
      <c r="A562" s="1124"/>
      <c r="B562" s="1071" t="s">
        <v>1720</v>
      </c>
      <c r="C562" s="1031"/>
      <c r="D562" s="1069"/>
      <c r="E562" s="1188"/>
    </row>
    <row r="563" spans="1:5" s="1415" customFormat="1">
      <c r="A563" s="1124"/>
      <c r="B563" s="1071" t="s">
        <v>1721</v>
      </c>
      <c r="C563" s="1031"/>
      <c r="D563" s="1069"/>
      <c r="E563" s="1188"/>
    </row>
    <row r="564" spans="1:5" s="1254" customFormat="1">
      <c r="A564" s="1124"/>
      <c r="B564" s="1085"/>
      <c r="C564" s="1031"/>
      <c r="D564" s="1052"/>
      <c r="E564" s="1147"/>
    </row>
    <row r="565" spans="1:5">
      <c r="B565" s="1204" t="s">
        <v>806</v>
      </c>
      <c r="C565" s="1185">
        <f>SUM(C549:C564)</f>
        <v>0</v>
      </c>
      <c r="D565" s="1185">
        <f>SUM(D549:D564)</f>
        <v>0</v>
      </c>
      <c r="E565" s="1180">
        <f>SUM(C565:D565)</f>
        <v>0</v>
      </c>
    </row>
    <row r="566" spans="1:5">
      <c r="B566" s="1205"/>
      <c r="C566" s="1034"/>
      <c r="D566" s="1034"/>
      <c r="E566" s="1079"/>
    </row>
    <row r="567" spans="1:5" s="1366" customFormat="1">
      <c r="A567" s="1124">
        <v>22</v>
      </c>
      <c r="B567" s="1041" t="s">
        <v>1444</v>
      </c>
      <c r="C567" s="1361"/>
      <c r="D567" s="1361"/>
      <c r="E567" s="1361"/>
    </row>
    <row r="568" spans="1:5" s="1366" customFormat="1">
      <c r="A568" s="1124"/>
      <c r="D568" s="1040"/>
      <c r="E568" s="1105" t="s">
        <v>1471</v>
      </c>
    </row>
    <row r="569" spans="1:5" s="1366" customFormat="1">
      <c r="A569" s="1124"/>
      <c r="B569" s="1057" t="s">
        <v>77</v>
      </c>
      <c r="C569" s="1319">
        <v>42460</v>
      </c>
      <c r="D569" s="1146" t="s">
        <v>1433</v>
      </c>
      <c r="E569" s="1146" t="s">
        <v>1474</v>
      </c>
    </row>
    <row r="570" spans="1:5" s="1366" customFormat="1">
      <c r="A570" s="1124"/>
      <c r="B570" s="1072"/>
      <c r="C570" s="1152"/>
      <c r="D570" s="1152"/>
      <c r="E570" s="1152"/>
    </row>
    <row r="571" spans="1:5" s="1366" customFormat="1">
      <c r="A571" s="1124"/>
      <c r="B571" s="1071" t="s">
        <v>1549</v>
      </c>
      <c r="C571" s="1152">
        <v>0</v>
      </c>
      <c r="D571" s="1152">
        <v>0</v>
      </c>
      <c r="E571" s="1152">
        <f>C571+D571</f>
        <v>0</v>
      </c>
    </row>
    <row r="572" spans="1:5" s="1366" customFormat="1">
      <c r="A572" s="1124"/>
      <c r="B572" s="1071" t="s">
        <v>1612</v>
      </c>
      <c r="C572" s="1152"/>
      <c r="D572" s="1152"/>
      <c r="E572" s="1152"/>
    </row>
    <row r="573" spans="1:5" s="1366" customFormat="1">
      <c r="A573" s="1124"/>
      <c r="B573" s="1071" t="s">
        <v>1554</v>
      </c>
      <c r="C573" s="1152">
        <v>0</v>
      </c>
      <c r="D573" s="1152">
        <v>0</v>
      </c>
      <c r="E573" s="1152">
        <f t="shared" ref="E573:E575" si="75">C573+D573</f>
        <v>0</v>
      </c>
    </row>
    <row r="574" spans="1:5" s="1366" customFormat="1">
      <c r="A574" s="1124"/>
      <c r="B574" s="1071" t="s">
        <v>1555</v>
      </c>
      <c r="C574" s="1152">
        <v>0</v>
      </c>
      <c r="D574" s="1152">
        <v>0</v>
      </c>
      <c r="E574" s="1152">
        <f t="shared" si="75"/>
        <v>0</v>
      </c>
    </row>
    <row r="575" spans="1:5" s="1366" customFormat="1">
      <c r="A575" s="1124"/>
      <c r="B575" s="1071" t="s">
        <v>1556</v>
      </c>
      <c r="C575" s="1152">
        <v>0</v>
      </c>
      <c r="D575" s="1152">
        <v>0</v>
      </c>
      <c r="E575" s="1152">
        <f t="shared" si="75"/>
        <v>0</v>
      </c>
    </row>
    <row r="576" spans="1:5" s="1366" customFormat="1">
      <c r="A576" s="1124"/>
      <c r="B576" s="1071" t="s">
        <v>1613</v>
      </c>
      <c r="C576" s="1065"/>
      <c r="D576" s="1152"/>
      <c r="E576" s="1152"/>
    </row>
    <row r="577" spans="1:5" s="1366" customFormat="1">
      <c r="A577" s="1124"/>
      <c r="B577" s="1071" t="s">
        <v>1558</v>
      </c>
      <c r="C577" s="1152">
        <v>0</v>
      </c>
      <c r="D577" s="1152">
        <v>0</v>
      </c>
      <c r="E577" s="1152">
        <f t="shared" ref="E577:E579" si="76">C577+D577</f>
        <v>0</v>
      </c>
    </row>
    <row r="578" spans="1:5" s="1366" customFormat="1">
      <c r="A578" s="1124"/>
      <c r="B578" s="1071" t="s">
        <v>1559</v>
      </c>
      <c r="C578" s="1152">
        <v>0</v>
      </c>
      <c r="D578" s="1152">
        <v>0</v>
      </c>
      <c r="E578" s="1152">
        <f t="shared" si="76"/>
        <v>0</v>
      </c>
    </row>
    <row r="579" spans="1:5" s="1366" customFormat="1">
      <c r="A579" s="1124"/>
      <c r="B579" s="1071" t="s">
        <v>1560</v>
      </c>
      <c r="C579" s="1152">
        <v>0</v>
      </c>
      <c r="D579" s="1152">
        <v>0</v>
      </c>
      <c r="E579" s="1152">
        <f t="shared" si="76"/>
        <v>0</v>
      </c>
    </row>
    <row r="580" spans="1:5" s="1366" customFormat="1">
      <c r="A580" s="1124"/>
      <c r="B580" s="1071" t="s">
        <v>1614</v>
      </c>
      <c r="C580" s="1065"/>
      <c r="D580" s="1152"/>
      <c r="E580" s="1152"/>
    </row>
    <row r="581" spans="1:5" s="1366" customFormat="1">
      <c r="A581" s="1124"/>
      <c r="B581" s="1071" t="s">
        <v>1562</v>
      </c>
      <c r="C581" s="1152">
        <v>0</v>
      </c>
      <c r="D581" s="1152">
        <v>0</v>
      </c>
      <c r="E581" s="1152">
        <f t="shared" ref="E581:E582" si="77">C581+D581</f>
        <v>0</v>
      </c>
    </row>
    <row r="582" spans="1:5" s="1366" customFormat="1">
      <c r="A582" s="1124"/>
      <c r="B582" s="1071" t="s">
        <v>1563</v>
      </c>
      <c r="C582" s="1152">
        <v>0</v>
      </c>
      <c r="D582" s="1152">
        <v>0</v>
      </c>
      <c r="E582" s="1152">
        <f t="shared" si="77"/>
        <v>0</v>
      </c>
    </row>
    <row r="583" spans="1:5" s="1366" customFormat="1">
      <c r="A583" s="1124"/>
      <c r="B583" s="1072"/>
      <c r="C583" s="1152"/>
      <c r="D583" s="1152"/>
      <c r="E583" s="1152"/>
    </row>
    <row r="584" spans="1:5" s="1366" customFormat="1">
      <c r="A584" s="1124"/>
      <c r="B584" s="1080"/>
      <c r="C584" s="1065"/>
      <c r="D584" s="1065"/>
      <c r="E584" s="1268"/>
    </row>
    <row r="585" spans="1:5" s="1366" customFormat="1">
      <c r="A585" s="1124"/>
      <c r="B585" s="1098" t="s">
        <v>806</v>
      </c>
      <c r="C585" s="1365">
        <f>SUM(C571:C582)</f>
        <v>0</v>
      </c>
      <c r="D585" s="1365">
        <f>SUM(D571:D582)</f>
        <v>0</v>
      </c>
      <c r="E585" s="1269">
        <f>C585+D585</f>
        <v>0</v>
      </c>
    </row>
    <row r="586" spans="1:5" s="1366" customFormat="1">
      <c r="A586" s="1124"/>
      <c r="B586" s="1192"/>
      <c r="C586" s="1053"/>
      <c r="D586" s="1053"/>
      <c r="E586" s="1270"/>
    </row>
    <row r="587" spans="1:5" s="1366" customFormat="1" ht="15.75" customHeight="1">
      <c r="A587" s="1124"/>
      <c r="B587" s="1574" t="s">
        <v>1620</v>
      </c>
      <c r="C587" s="1574"/>
      <c r="D587" s="1574"/>
      <c r="E587" s="1574"/>
    </row>
    <row r="588" spans="1:5" s="1254" customFormat="1">
      <c r="A588" s="1124"/>
      <c r="B588" s="1261"/>
      <c r="C588" s="1261"/>
      <c r="D588" s="1261"/>
      <c r="E588" s="1261"/>
    </row>
    <row r="589" spans="1:5">
      <c r="A589" s="1124">
        <v>23</v>
      </c>
      <c r="B589" s="1041" t="s">
        <v>1663</v>
      </c>
    </row>
    <row r="590" spans="1:5">
      <c r="C590" s="1201"/>
      <c r="E590" s="1105" t="s">
        <v>1471</v>
      </c>
    </row>
    <row r="591" spans="1:5">
      <c r="B591" s="1057" t="s">
        <v>77</v>
      </c>
      <c r="C591" s="1319">
        <v>42460</v>
      </c>
      <c r="D591" s="1146" t="s">
        <v>1287</v>
      </c>
      <c r="E591" s="1146" t="s">
        <v>1474</v>
      </c>
    </row>
    <row r="592" spans="1:5">
      <c r="B592" s="1080"/>
      <c r="C592" s="1172"/>
      <c r="D592" s="1037"/>
      <c r="E592" s="1080"/>
    </row>
    <row r="593" spans="1:5">
      <c r="B593" s="1211" t="s">
        <v>1281</v>
      </c>
      <c r="C593" s="1173"/>
      <c r="D593" s="1036"/>
      <c r="E593" s="1080"/>
    </row>
    <row r="594" spans="1:5">
      <c r="B594" s="1080" t="s">
        <v>1572</v>
      </c>
      <c r="C594" s="1166">
        <v>0</v>
      </c>
      <c r="D594" s="1052">
        <v>0</v>
      </c>
      <c r="E594" s="1094">
        <f>SUM(C594:D594)</f>
        <v>0</v>
      </c>
    </row>
    <row r="595" spans="1:5">
      <c r="B595" s="1080" t="s">
        <v>1564</v>
      </c>
      <c r="C595" s="1166">
        <v>0</v>
      </c>
      <c r="D595" s="1052">
        <v>0</v>
      </c>
      <c r="E595" s="1094">
        <f t="shared" ref="E595:E596" si="78">SUM(C595:D595)</f>
        <v>0</v>
      </c>
    </row>
    <row r="596" spans="1:5">
      <c r="B596" s="1080" t="s">
        <v>1565</v>
      </c>
      <c r="C596" s="1166">
        <v>0</v>
      </c>
      <c r="D596" s="1052">
        <v>0</v>
      </c>
      <c r="E596" s="1094">
        <f t="shared" si="78"/>
        <v>0</v>
      </c>
    </row>
    <row r="597" spans="1:5" s="1366" customFormat="1">
      <c r="A597" s="1124"/>
      <c r="B597" s="1211" t="s">
        <v>879</v>
      </c>
      <c r="C597" s="1166">
        <v>0</v>
      </c>
      <c r="D597" s="1052">
        <v>0</v>
      </c>
      <c r="E597" s="1094">
        <f t="shared" ref="E597" si="79">SUM(C597:D597)</f>
        <v>0</v>
      </c>
    </row>
    <row r="598" spans="1:5">
      <c r="B598" s="1080"/>
      <c r="C598" s="1174"/>
      <c r="D598" s="1038"/>
      <c r="E598" s="1080"/>
    </row>
    <row r="599" spans="1:5">
      <c r="B599" s="1204" t="s">
        <v>806</v>
      </c>
      <c r="C599" s="1084">
        <f>SUM(C594:C598)</f>
        <v>0</v>
      </c>
      <c r="D599" s="1084">
        <f t="shared" ref="D599:E599" si="80">SUM(D594:D598)</f>
        <v>0</v>
      </c>
      <c r="E599" s="1164">
        <f t="shared" si="80"/>
        <v>0</v>
      </c>
    </row>
    <row r="601" spans="1:5">
      <c r="A601" s="1124">
        <f>A589+1</f>
        <v>24</v>
      </c>
      <c r="B601" s="1392" t="s">
        <v>1447</v>
      </c>
    </row>
    <row r="602" spans="1:5">
      <c r="C602" s="1201"/>
      <c r="E602" s="1105" t="s">
        <v>1471</v>
      </c>
    </row>
    <row r="603" spans="1:5">
      <c r="B603" s="1067" t="s">
        <v>77</v>
      </c>
      <c r="C603" s="1319">
        <v>42460</v>
      </c>
      <c r="D603" s="1138" t="s">
        <v>1410</v>
      </c>
      <c r="E603" s="1138" t="s">
        <v>1474</v>
      </c>
    </row>
    <row r="604" spans="1:5">
      <c r="B604" s="1085"/>
      <c r="C604" s="1165"/>
      <c r="D604" s="1035"/>
      <c r="E604" s="1147"/>
    </row>
    <row r="605" spans="1:5">
      <c r="B605" s="1210" t="s">
        <v>33</v>
      </c>
      <c r="C605" s="1166"/>
      <c r="D605" s="1069"/>
      <c r="E605" s="1147"/>
    </row>
    <row r="606" spans="1:5">
      <c r="B606" s="1363" t="s">
        <v>1546</v>
      </c>
      <c r="C606" s="1031">
        <v>0</v>
      </c>
      <c r="D606" s="1069">
        <v>0</v>
      </c>
      <c r="E606" s="1188">
        <f>C606+D606</f>
        <v>0</v>
      </c>
    </row>
    <row r="607" spans="1:5" s="1366" customFormat="1">
      <c r="A607" s="1124"/>
      <c r="B607" s="1393" t="s">
        <v>1661</v>
      </c>
      <c r="C607" s="1031"/>
      <c r="D607" s="1069"/>
      <c r="E607" s="1188"/>
    </row>
    <row r="608" spans="1:5" s="1366" customFormat="1">
      <c r="A608" s="1124"/>
      <c r="B608" s="1363" t="s">
        <v>1547</v>
      </c>
      <c r="C608" s="1031">
        <v>0</v>
      </c>
      <c r="D608" s="1069">
        <v>0</v>
      </c>
      <c r="E608" s="1188">
        <f>C608+D608</f>
        <v>0</v>
      </c>
    </row>
    <row r="609" spans="1:5">
      <c r="B609" s="1363" t="s">
        <v>1548</v>
      </c>
      <c r="C609" s="1031">
        <v>0</v>
      </c>
      <c r="D609" s="1052"/>
      <c r="E609" s="1090"/>
    </row>
    <row r="610" spans="1:5">
      <c r="B610" s="1085"/>
      <c r="C610" s="1167">
        <f>SUM(C606:C609)</f>
        <v>0</v>
      </c>
      <c r="D610" s="1167">
        <f>SUM(D606:D609)</f>
        <v>0</v>
      </c>
      <c r="E610" s="1129">
        <f>SUM(C610:D610)</f>
        <v>0</v>
      </c>
    </row>
    <row r="611" spans="1:5">
      <c r="B611" s="1210" t="s">
        <v>879</v>
      </c>
      <c r="C611" s="1166"/>
      <c r="D611" s="1052"/>
      <c r="E611" s="1147"/>
    </row>
    <row r="612" spans="1:5" s="1366" customFormat="1">
      <c r="A612" s="1124"/>
      <c r="B612" s="1071" t="s">
        <v>1549</v>
      </c>
      <c r="C612" s="1031">
        <v>0</v>
      </c>
      <c r="D612" s="1069">
        <v>0</v>
      </c>
      <c r="E612" s="1188">
        <f t="shared" ref="E612:E626" si="81">C612+D612</f>
        <v>0</v>
      </c>
    </row>
    <row r="613" spans="1:5" s="1366" customFormat="1">
      <c r="A613" s="1124"/>
      <c r="B613" s="1071" t="s">
        <v>1550</v>
      </c>
      <c r="C613" s="1031">
        <v>0</v>
      </c>
      <c r="D613" s="1069">
        <v>0</v>
      </c>
      <c r="E613" s="1188">
        <f t="shared" si="81"/>
        <v>0</v>
      </c>
    </row>
    <row r="614" spans="1:5" s="1366" customFormat="1">
      <c r="A614" s="1124"/>
      <c r="B614" s="1071" t="s">
        <v>1551</v>
      </c>
      <c r="C614" s="1031">
        <v>0</v>
      </c>
      <c r="D614" s="1069">
        <v>0</v>
      </c>
      <c r="E614" s="1188">
        <f t="shared" si="81"/>
        <v>0</v>
      </c>
    </row>
    <row r="615" spans="1:5" s="1366" customFormat="1">
      <c r="A615" s="1124"/>
      <c r="B615" s="1071" t="s">
        <v>1552</v>
      </c>
      <c r="C615" s="1031">
        <v>0</v>
      </c>
      <c r="D615" s="1069">
        <v>0</v>
      </c>
      <c r="E615" s="1188">
        <f t="shared" si="81"/>
        <v>0</v>
      </c>
    </row>
    <row r="616" spans="1:5" s="1366" customFormat="1">
      <c r="A616" s="1124"/>
      <c r="B616" s="1071" t="s">
        <v>1553</v>
      </c>
      <c r="C616" s="1031">
        <v>0</v>
      </c>
      <c r="D616" s="1069">
        <v>0</v>
      </c>
      <c r="E616" s="1188">
        <f t="shared" si="81"/>
        <v>0</v>
      </c>
    </row>
    <row r="617" spans="1:5" s="1366" customFormat="1">
      <c r="A617" s="1124"/>
      <c r="B617" s="1071" t="s">
        <v>1554</v>
      </c>
      <c r="C617" s="1031">
        <v>0</v>
      </c>
      <c r="D617" s="1069">
        <v>0</v>
      </c>
      <c r="E617" s="1188">
        <f t="shared" si="81"/>
        <v>0</v>
      </c>
    </row>
    <row r="618" spans="1:5" s="1366" customFormat="1">
      <c r="A618" s="1124"/>
      <c r="B618" s="1071" t="s">
        <v>1555</v>
      </c>
      <c r="C618" s="1031">
        <v>0</v>
      </c>
      <c r="D618" s="1069">
        <v>0</v>
      </c>
      <c r="E618" s="1188">
        <f t="shared" si="81"/>
        <v>0</v>
      </c>
    </row>
    <row r="619" spans="1:5" s="1366" customFormat="1">
      <c r="A619" s="1124"/>
      <c r="B619" s="1071" t="s">
        <v>1556</v>
      </c>
      <c r="C619" s="1031">
        <v>0</v>
      </c>
      <c r="D619" s="1069">
        <v>0</v>
      </c>
      <c r="E619" s="1188">
        <f t="shared" si="81"/>
        <v>0</v>
      </c>
    </row>
    <row r="620" spans="1:5" s="1366" customFormat="1">
      <c r="A620" s="1124"/>
      <c r="B620" s="1071" t="s">
        <v>1557</v>
      </c>
      <c r="C620" s="1031">
        <v>0</v>
      </c>
      <c r="D620" s="1069">
        <v>0</v>
      </c>
      <c r="E620" s="1188">
        <f t="shared" si="81"/>
        <v>0</v>
      </c>
    </row>
    <row r="621" spans="1:5" s="1366" customFormat="1">
      <c r="A621" s="1124"/>
      <c r="B621" s="1071" t="s">
        <v>1558</v>
      </c>
      <c r="C621" s="1031">
        <v>0</v>
      </c>
      <c r="D621" s="1069">
        <v>0</v>
      </c>
      <c r="E621" s="1188">
        <f t="shared" si="81"/>
        <v>0</v>
      </c>
    </row>
    <row r="622" spans="1:5" s="1366" customFormat="1">
      <c r="A622" s="1124"/>
      <c r="B622" s="1071" t="s">
        <v>1559</v>
      </c>
      <c r="C622" s="1031">
        <v>0</v>
      </c>
      <c r="D622" s="1069">
        <v>0</v>
      </c>
      <c r="E622" s="1188">
        <f t="shared" si="81"/>
        <v>0</v>
      </c>
    </row>
    <row r="623" spans="1:5" s="1366" customFormat="1">
      <c r="A623" s="1124"/>
      <c r="B623" s="1071" t="s">
        <v>1560</v>
      </c>
      <c r="C623" s="1031">
        <v>0</v>
      </c>
      <c r="D623" s="1069">
        <v>0</v>
      </c>
      <c r="E623" s="1188">
        <f t="shared" si="81"/>
        <v>0</v>
      </c>
    </row>
    <row r="624" spans="1:5" s="1366" customFormat="1">
      <c r="A624" s="1124"/>
      <c r="B624" s="1071" t="s">
        <v>1561</v>
      </c>
      <c r="C624" s="1031">
        <v>0</v>
      </c>
      <c r="D624" s="1069">
        <v>0</v>
      </c>
      <c r="E624" s="1188">
        <f t="shared" si="81"/>
        <v>0</v>
      </c>
    </row>
    <row r="625" spans="1:5" s="1366" customFormat="1">
      <c r="A625" s="1124"/>
      <c r="B625" s="1071" t="s">
        <v>1562</v>
      </c>
      <c r="C625" s="1031">
        <v>0</v>
      </c>
      <c r="D625" s="1069">
        <v>0</v>
      </c>
      <c r="E625" s="1188">
        <f t="shared" si="81"/>
        <v>0</v>
      </c>
    </row>
    <row r="626" spans="1:5" s="1366" customFormat="1">
      <c r="A626" s="1124"/>
      <c r="B626" s="1071" t="s">
        <v>1563</v>
      </c>
      <c r="C626" s="1031">
        <v>0</v>
      </c>
      <c r="D626" s="1069">
        <v>0</v>
      </c>
      <c r="E626" s="1188">
        <f t="shared" si="81"/>
        <v>0</v>
      </c>
    </row>
    <row r="627" spans="1:5">
      <c r="B627" s="1087"/>
      <c r="C627" s="1167">
        <f>SUM(C612:C626)</f>
        <v>0</v>
      </c>
      <c r="D627" s="1167">
        <f>SUM(D612:D626)</f>
        <v>0</v>
      </c>
      <c r="E627" s="1095">
        <f>SUM(C627:D627)</f>
        <v>0</v>
      </c>
    </row>
    <row r="628" spans="1:5">
      <c r="B628" s="1085"/>
      <c r="C628" s="1168"/>
      <c r="D628" s="1082"/>
      <c r="E628" s="1148"/>
    </row>
    <row r="629" spans="1:5">
      <c r="B629" s="1204" t="s">
        <v>806</v>
      </c>
      <c r="C629" s="1180">
        <f>+C627+C610</f>
        <v>0</v>
      </c>
      <c r="D629" s="1159">
        <f>+D627+D610</f>
        <v>0</v>
      </c>
      <c r="E629" s="1159">
        <f>+E627+E610</f>
        <v>0</v>
      </c>
    </row>
    <row r="631" spans="1:5">
      <c r="B631" s="1574" t="s">
        <v>1717</v>
      </c>
      <c r="C631" s="1574"/>
      <c r="D631" s="1574"/>
      <c r="E631" s="1574"/>
    </row>
    <row r="632" spans="1:5" s="1366" customFormat="1">
      <c r="A632" s="1124"/>
    </row>
    <row r="633" spans="1:5">
      <c r="A633" s="1124">
        <f>A601+1</f>
        <v>25</v>
      </c>
      <c r="B633" s="1041" t="s">
        <v>1715</v>
      </c>
    </row>
    <row r="634" spans="1:5">
      <c r="C634" s="1201"/>
      <c r="E634" s="1105" t="s">
        <v>1471</v>
      </c>
    </row>
    <row r="635" spans="1:5">
      <c r="B635" s="1067" t="s">
        <v>77</v>
      </c>
      <c r="C635" s="1319">
        <v>42460</v>
      </c>
      <c r="D635" s="1138" t="s">
        <v>1287</v>
      </c>
      <c r="E635" s="1138" t="s">
        <v>1474</v>
      </c>
    </row>
    <row r="636" spans="1:5">
      <c r="B636" s="1058"/>
      <c r="C636" s="1061"/>
      <c r="D636" s="1063"/>
      <c r="E636" s="1147"/>
    </row>
    <row r="637" spans="1:5">
      <c r="B637" s="1363" t="s">
        <v>1566</v>
      </c>
      <c r="C637" s="1065"/>
      <c r="D637" s="1036"/>
      <c r="E637" s="1147"/>
    </row>
    <row r="638" spans="1:5">
      <c r="B638" s="1363" t="s">
        <v>1567</v>
      </c>
      <c r="C638" s="1065"/>
      <c r="D638" s="1069">
        <v>0</v>
      </c>
      <c r="E638" s="1129">
        <v>0</v>
      </c>
    </row>
    <row r="639" spans="1:5" s="1366" customFormat="1">
      <c r="A639" s="1124"/>
      <c r="B639" s="1363" t="s">
        <v>1568</v>
      </c>
      <c r="C639" s="1065">
        <v>0</v>
      </c>
      <c r="D639" s="1069">
        <v>0</v>
      </c>
      <c r="E639" s="1129">
        <v>0</v>
      </c>
    </row>
    <row r="640" spans="1:5" s="1366" customFormat="1">
      <c r="A640" s="1124"/>
      <c r="B640" s="1363" t="s">
        <v>1569</v>
      </c>
      <c r="C640" s="1065">
        <v>0</v>
      </c>
      <c r="D640" s="1069">
        <v>0</v>
      </c>
      <c r="E640" s="1129">
        <v>0</v>
      </c>
    </row>
    <row r="641" spans="1:5" s="1366" customFormat="1">
      <c r="A641" s="1124"/>
      <c r="B641" s="1363" t="s">
        <v>1570</v>
      </c>
      <c r="C641" s="1065">
        <v>0</v>
      </c>
      <c r="D641" s="1069">
        <v>0</v>
      </c>
      <c r="E641" s="1129">
        <v>0</v>
      </c>
    </row>
    <row r="642" spans="1:5" s="1366" customFormat="1">
      <c r="A642" s="1124"/>
      <c r="B642" s="1363"/>
      <c r="C642" s="1065"/>
      <c r="D642" s="1069"/>
      <c r="E642" s="1129"/>
    </row>
    <row r="643" spans="1:5" s="1366" customFormat="1">
      <c r="A643" s="1124"/>
      <c r="B643" s="1363" t="s">
        <v>1571</v>
      </c>
      <c r="C643" s="1065">
        <v>0</v>
      </c>
      <c r="D643" s="1069">
        <v>0</v>
      </c>
      <c r="E643" s="1129">
        <v>0</v>
      </c>
    </row>
    <row r="644" spans="1:5" s="1366" customFormat="1">
      <c r="A644" s="1124"/>
      <c r="B644" s="1363"/>
      <c r="C644" s="1065"/>
      <c r="D644" s="1069"/>
      <c r="E644" s="1129"/>
    </row>
    <row r="645" spans="1:5">
      <c r="B645" s="1204" t="s">
        <v>806</v>
      </c>
      <c r="C645" s="1156">
        <f>SUM(C638:C644)</f>
        <v>0</v>
      </c>
      <c r="D645" s="1156">
        <f>SUM(D638:D644)</f>
        <v>0</v>
      </c>
      <c r="E645" s="1156">
        <f>SUM(E638:E644)</f>
        <v>0</v>
      </c>
    </row>
    <row r="647" spans="1:5">
      <c r="A647" s="1124">
        <f>A633+1</f>
        <v>26</v>
      </c>
      <c r="B647" s="1413" t="s">
        <v>1716</v>
      </c>
    </row>
    <row r="648" spans="1:5">
      <c r="C648" s="1201"/>
      <c r="E648" s="1105" t="s">
        <v>1471</v>
      </c>
    </row>
    <row r="649" spans="1:5">
      <c r="B649" s="1057" t="s">
        <v>77</v>
      </c>
      <c r="C649" s="1377">
        <v>42460</v>
      </c>
      <c r="D649" s="1378" t="s">
        <v>1287</v>
      </c>
      <c r="E649" s="1379" t="s">
        <v>1474</v>
      </c>
    </row>
    <row r="650" spans="1:5">
      <c r="B650" s="1058"/>
      <c r="C650" s="1061"/>
      <c r="D650" s="1061"/>
      <c r="E650" s="1161"/>
    </row>
    <row r="651" spans="1:5">
      <c r="B651" s="1363" t="s">
        <v>1546</v>
      </c>
      <c r="C651" s="1065">
        <v>0</v>
      </c>
      <c r="D651" s="1152">
        <v>0</v>
      </c>
      <c r="E651" s="1169">
        <f>SUM(C651:D651)</f>
        <v>0</v>
      </c>
    </row>
    <row r="652" spans="1:5" s="1415" customFormat="1">
      <c r="A652" s="1124"/>
      <c r="B652" s="1071" t="s">
        <v>1719</v>
      </c>
      <c r="C652" s="1065"/>
      <c r="D652" s="1152"/>
      <c r="E652" s="1169"/>
    </row>
    <row r="653" spans="1:5" s="1415" customFormat="1">
      <c r="A653" s="1124"/>
      <c r="B653" s="1071" t="s">
        <v>1720</v>
      </c>
      <c r="C653" s="1065"/>
      <c r="D653" s="1152"/>
      <c r="E653" s="1169"/>
    </row>
    <row r="654" spans="1:5" s="1415" customFormat="1">
      <c r="A654" s="1124"/>
      <c r="B654" s="1071" t="s">
        <v>1721</v>
      </c>
      <c r="C654" s="1065"/>
      <c r="D654" s="1152"/>
      <c r="E654" s="1169"/>
    </row>
    <row r="655" spans="1:5" s="1415" customFormat="1">
      <c r="A655" s="1124"/>
      <c r="B655" s="1071"/>
      <c r="C655" s="1065"/>
      <c r="D655" s="1152"/>
      <c r="E655" s="1169"/>
    </row>
    <row r="656" spans="1:5">
      <c r="B656" s="1393" t="s">
        <v>1662</v>
      </c>
      <c r="C656" s="1065"/>
      <c r="D656" s="1065"/>
      <c r="E656" s="1080"/>
    </row>
    <row r="657" spans="1:5">
      <c r="B657" s="1363" t="s">
        <v>1547</v>
      </c>
      <c r="C657" s="1065">
        <f ca="1">SUM(C651:C661)</f>
        <v>0</v>
      </c>
      <c r="D657" s="1065">
        <v>0</v>
      </c>
      <c r="E657" s="1169">
        <f ca="1">SUM(C657:D657)</f>
        <v>0</v>
      </c>
    </row>
    <row r="658" spans="1:5" s="1415" customFormat="1">
      <c r="A658" s="1124"/>
      <c r="B658" s="1071" t="s">
        <v>1719</v>
      </c>
      <c r="C658" s="1065"/>
      <c r="D658" s="1065"/>
      <c r="E658" s="1169"/>
    </row>
    <row r="659" spans="1:5" s="1415" customFormat="1">
      <c r="A659" s="1124"/>
      <c r="B659" s="1071" t="s">
        <v>1720</v>
      </c>
      <c r="C659" s="1065"/>
      <c r="D659" s="1065"/>
      <c r="E659" s="1169"/>
    </row>
    <row r="660" spans="1:5" s="1415" customFormat="1">
      <c r="A660" s="1124"/>
      <c r="B660" s="1071" t="s">
        <v>1721</v>
      </c>
      <c r="C660" s="1065"/>
      <c r="D660" s="1065"/>
      <c r="E660" s="1169"/>
    </row>
    <row r="661" spans="1:5" s="1366" customFormat="1">
      <c r="A661" s="1124"/>
      <c r="B661" s="1363" t="s">
        <v>1548</v>
      </c>
      <c r="C661" s="1065">
        <v>0</v>
      </c>
      <c r="D661" s="1065">
        <v>0</v>
      </c>
      <c r="E661" s="1381">
        <f>C661+D661</f>
        <v>0</v>
      </c>
    </row>
    <row r="662" spans="1:5" s="1415" customFormat="1">
      <c r="A662" s="1124"/>
      <c r="B662" s="1071" t="s">
        <v>1719</v>
      </c>
      <c r="C662" s="1065"/>
      <c r="D662" s="1065"/>
      <c r="E662" s="1381"/>
    </row>
    <row r="663" spans="1:5" s="1415" customFormat="1">
      <c r="A663" s="1124"/>
      <c r="B663" s="1071" t="s">
        <v>1720</v>
      </c>
      <c r="C663" s="1065"/>
      <c r="D663" s="1065"/>
      <c r="E663" s="1381"/>
    </row>
    <row r="664" spans="1:5" s="1415" customFormat="1">
      <c r="A664" s="1124"/>
      <c r="B664" s="1071" t="s">
        <v>1721</v>
      </c>
      <c r="C664" s="1065"/>
      <c r="D664" s="1065"/>
      <c r="E664" s="1381"/>
    </row>
    <row r="665" spans="1:5" s="1366" customFormat="1">
      <c r="A665" s="1124"/>
      <c r="B665" s="1363"/>
      <c r="C665" s="1066"/>
      <c r="D665" s="1066"/>
      <c r="E665" s="1317"/>
    </row>
    <row r="666" spans="1:5">
      <c r="B666" s="1380" t="s">
        <v>806</v>
      </c>
      <c r="C666" s="1156">
        <f ca="1">SUM(C657:C661)</f>
        <v>0</v>
      </c>
      <c r="D666" s="1156">
        <f>SUM(D657:D661)</f>
        <v>0</v>
      </c>
      <c r="E666" s="1156">
        <f ca="1">SUM(E657:E661)</f>
        <v>0</v>
      </c>
    </row>
    <row r="668" spans="1:5">
      <c r="B668" s="1570"/>
      <c r="C668" s="1570"/>
      <c r="D668" s="1570"/>
      <c r="E668" s="1570"/>
    </row>
    <row r="669" spans="1:5" s="1265" customFormat="1">
      <c r="A669" s="1124">
        <f>A647+1</f>
        <v>27</v>
      </c>
      <c r="B669" s="1041" t="s">
        <v>1444</v>
      </c>
      <c r="C669" s="1266"/>
      <c r="D669" s="1266"/>
      <c r="E669" s="1266"/>
    </row>
    <row r="670" spans="1:5" s="1265" customFormat="1">
      <c r="A670" s="1124"/>
      <c r="D670" s="1040"/>
      <c r="E670" s="1105" t="s">
        <v>1471</v>
      </c>
    </row>
    <row r="671" spans="1:5" s="1265" customFormat="1">
      <c r="A671" s="1124"/>
      <c r="B671" s="1057" t="s">
        <v>77</v>
      </c>
      <c r="C671" s="1319">
        <v>42460</v>
      </c>
      <c r="D671" s="1146" t="s">
        <v>1433</v>
      </c>
      <c r="E671" s="1146" t="s">
        <v>1474</v>
      </c>
    </row>
    <row r="672" spans="1:5" s="1275" customFormat="1">
      <c r="A672" s="1124"/>
      <c r="B672" s="1072"/>
      <c r="C672" s="1152"/>
      <c r="D672" s="1152"/>
      <c r="E672" s="1152"/>
    </row>
    <row r="673" spans="1:5" s="1366" customFormat="1">
      <c r="A673" s="1124"/>
      <c r="B673" s="1071" t="s">
        <v>1549</v>
      </c>
      <c r="C673" s="1065">
        <v>0</v>
      </c>
      <c r="D673" s="1152">
        <v>0</v>
      </c>
      <c r="E673" s="1152">
        <f>C673+D673</f>
        <v>0</v>
      </c>
    </row>
    <row r="674" spans="1:5" s="1275" customFormat="1">
      <c r="A674" s="1124"/>
      <c r="B674" s="1071" t="s">
        <v>1664</v>
      </c>
      <c r="C674" s="1065">
        <v>0</v>
      </c>
      <c r="D674" s="1152">
        <v>0</v>
      </c>
      <c r="E674" s="1152">
        <f>C674+D674</f>
        <v>0</v>
      </c>
    </row>
    <row r="675" spans="1:5" s="1275" customFormat="1">
      <c r="A675" s="1124"/>
      <c r="B675" s="1071" t="s">
        <v>1665</v>
      </c>
      <c r="C675" s="1065">
        <v>0</v>
      </c>
      <c r="D675" s="1152">
        <v>0</v>
      </c>
      <c r="E675" s="1152">
        <f>C675+D675</f>
        <v>0</v>
      </c>
    </row>
    <row r="676" spans="1:5" s="1275" customFormat="1">
      <c r="A676" s="1124"/>
      <c r="B676" s="1071" t="s">
        <v>1666</v>
      </c>
      <c r="C676" s="1152"/>
      <c r="D676" s="1152"/>
      <c r="E676" s="1152"/>
    </row>
    <row r="677" spans="1:5" s="1275" customFormat="1">
      <c r="A677" s="1124"/>
      <c r="B677" s="1080"/>
      <c r="C677" s="1065"/>
      <c r="D677" s="1065"/>
      <c r="E677" s="1268"/>
    </row>
    <row r="678" spans="1:5" s="1265" customFormat="1">
      <c r="A678" s="1124"/>
      <c r="B678" s="1098" t="s">
        <v>806</v>
      </c>
      <c r="C678" s="1178">
        <f>SUM(C673:C677)</f>
        <v>0</v>
      </c>
      <c r="D678" s="1365">
        <f>SUM(D673:D677)</f>
        <v>0</v>
      </c>
      <c r="E678" s="1365">
        <f>SUM(E673:E677)</f>
        <v>0</v>
      </c>
    </row>
    <row r="679" spans="1:5" s="1265" customFormat="1">
      <c r="A679" s="1124"/>
      <c r="B679" s="1192"/>
      <c r="C679" s="1053"/>
      <c r="D679" s="1270"/>
      <c r="E679" s="1270"/>
    </row>
    <row r="680" spans="1:5" s="1415" customFormat="1">
      <c r="A680" s="1124"/>
      <c r="B680" s="1574" t="s">
        <v>1717</v>
      </c>
      <c r="C680" s="1574"/>
      <c r="D680" s="1574"/>
      <c r="E680" s="1574"/>
    </row>
    <row r="681" spans="1:5" s="1265" customFormat="1">
      <c r="A681" s="1124"/>
      <c r="B681" s="1266"/>
      <c r="C681" s="1266"/>
      <c r="D681" s="1266"/>
      <c r="E681" s="1266"/>
    </row>
    <row r="682" spans="1:5">
      <c r="A682" s="1124">
        <f>A669+1</f>
        <v>28</v>
      </c>
      <c r="B682" s="1041" t="s">
        <v>1355</v>
      </c>
    </row>
    <row r="683" spans="1:5">
      <c r="C683" s="1201"/>
      <c r="E683" s="1105" t="s">
        <v>1471</v>
      </c>
    </row>
    <row r="684" spans="1:5">
      <c r="B684" s="1067" t="s">
        <v>77</v>
      </c>
      <c r="C684" s="1319">
        <v>42460</v>
      </c>
      <c r="D684" s="1138" t="s">
        <v>1433</v>
      </c>
      <c r="E684" s="1146" t="s">
        <v>1474</v>
      </c>
    </row>
    <row r="685" spans="1:5">
      <c r="A685" s="1132"/>
      <c r="B685" s="1058"/>
      <c r="C685" s="1061"/>
      <c r="D685" s="1068"/>
      <c r="E685" s="1080"/>
    </row>
    <row r="686" spans="1:5" s="1366" customFormat="1">
      <c r="A686" s="1124"/>
      <c r="B686" s="1071" t="s">
        <v>1549</v>
      </c>
      <c r="C686" s="1152">
        <v>0</v>
      </c>
      <c r="D686" s="1152">
        <v>0</v>
      </c>
      <c r="E686" s="1152">
        <f>C686+D686</f>
        <v>0</v>
      </c>
    </row>
    <row r="687" spans="1:5" s="1366" customFormat="1">
      <c r="A687" s="1124"/>
      <c r="B687" s="1071" t="s">
        <v>1550</v>
      </c>
      <c r="C687" s="1152">
        <v>0</v>
      </c>
      <c r="D687" s="1152">
        <v>0</v>
      </c>
      <c r="E687" s="1152">
        <f>C687+D687</f>
        <v>0</v>
      </c>
    </row>
    <row r="688" spans="1:5" s="1366" customFormat="1">
      <c r="A688" s="1124"/>
      <c r="B688" s="1071" t="s">
        <v>1579</v>
      </c>
      <c r="C688" s="1152">
        <v>0</v>
      </c>
      <c r="D688" s="1152">
        <v>0</v>
      </c>
      <c r="E688" s="1152">
        <f t="shared" ref="E688:E689" si="82">C688+D688</f>
        <v>0</v>
      </c>
    </row>
    <row r="689" spans="1:5" s="1366" customFormat="1">
      <c r="A689" s="1124"/>
      <c r="B689" s="1071" t="s">
        <v>1580</v>
      </c>
      <c r="C689" s="1152">
        <v>0</v>
      </c>
      <c r="D689" s="1152">
        <v>0</v>
      </c>
      <c r="E689" s="1152">
        <f t="shared" si="82"/>
        <v>0</v>
      </c>
    </row>
    <row r="690" spans="1:5" s="1366" customFormat="1">
      <c r="A690" s="1124"/>
      <c r="B690" s="1071" t="s">
        <v>1581</v>
      </c>
      <c r="C690" s="1152">
        <v>0</v>
      </c>
      <c r="D690" s="1152">
        <v>0</v>
      </c>
      <c r="E690" s="1152">
        <f t="shared" ref="E690" si="83">C690+D690</f>
        <v>0</v>
      </c>
    </row>
    <row r="691" spans="1:5" s="1366" customFormat="1">
      <c r="A691" s="1124"/>
      <c r="B691" s="1071" t="s">
        <v>1582</v>
      </c>
      <c r="C691" s="1152"/>
      <c r="D691" s="1152"/>
      <c r="E691" s="1152"/>
    </row>
    <row r="692" spans="1:5" s="1366" customFormat="1">
      <c r="A692" s="1124"/>
      <c r="B692" s="1071" t="s">
        <v>1552</v>
      </c>
      <c r="C692" s="1152">
        <v>0</v>
      </c>
      <c r="D692" s="1152">
        <v>0</v>
      </c>
      <c r="E692" s="1152">
        <f t="shared" ref="E692:E696" si="84">C692+D692</f>
        <v>0</v>
      </c>
    </row>
    <row r="693" spans="1:5" s="1366" customFormat="1">
      <c r="A693" s="1124"/>
      <c r="B693" s="1071" t="s">
        <v>1553</v>
      </c>
      <c r="C693" s="1152">
        <v>0</v>
      </c>
      <c r="D693" s="1152">
        <v>0</v>
      </c>
      <c r="E693" s="1152">
        <f t="shared" si="84"/>
        <v>0</v>
      </c>
    </row>
    <row r="694" spans="1:5" s="1366" customFormat="1">
      <c r="A694" s="1124"/>
      <c r="B694" s="1071" t="s">
        <v>1554</v>
      </c>
      <c r="C694" s="1152">
        <v>0</v>
      </c>
      <c r="D694" s="1152">
        <v>0</v>
      </c>
      <c r="E694" s="1152">
        <f t="shared" si="84"/>
        <v>0</v>
      </c>
    </row>
    <row r="695" spans="1:5" s="1366" customFormat="1">
      <c r="A695" s="1124"/>
      <c r="B695" s="1071" t="s">
        <v>1555</v>
      </c>
      <c r="C695" s="1152">
        <v>0</v>
      </c>
      <c r="D695" s="1152">
        <v>0</v>
      </c>
      <c r="E695" s="1152">
        <f t="shared" si="84"/>
        <v>0</v>
      </c>
    </row>
    <row r="696" spans="1:5" s="1366" customFormat="1">
      <c r="A696" s="1124"/>
      <c r="B696" s="1071" t="s">
        <v>1556</v>
      </c>
      <c r="C696" s="1152">
        <v>0</v>
      </c>
      <c r="D696" s="1152">
        <v>0</v>
      </c>
      <c r="E696" s="1152">
        <f t="shared" si="84"/>
        <v>0</v>
      </c>
    </row>
    <row r="697" spans="1:5" s="1366" customFormat="1">
      <c r="A697" s="1124"/>
      <c r="B697" s="1071" t="s">
        <v>1667</v>
      </c>
      <c r="C697" s="1152">
        <v>0</v>
      </c>
      <c r="D697" s="1152">
        <v>0</v>
      </c>
      <c r="E697" s="1152">
        <f t="shared" ref="E697:E699" si="85">C697+D697</f>
        <v>0</v>
      </c>
    </row>
    <row r="698" spans="1:5" s="1366" customFormat="1">
      <c r="A698" s="1124"/>
      <c r="B698" s="1071" t="s">
        <v>1583</v>
      </c>
      <c r="C698" s="1152">
        <v>0</v>
      </c>
      <c r="D698" s="1152">
        <v>0</v>
      </c>
      <c r="E698" s="1152">
        <f t="shared" si="85"/>
        <v>0</v>
      </c>
    </row>
    <row r="699" spans="1:5" s="1366" customFormat="1">
      <c r="A699" s="1124"/>
      <c r="B699" s="1071" t="s">
        <v>1584</v>
      </c>
      <c r="C699" s="1152">
        <v>0</v>
      </c>
      <c r="D699" s="1152">
        <v>0</v>
      </c>
      <c r="E699" s="1152">
        <f t="shared" si="85"/>
        <v>0</v>
      </c>
    </row>
    <row r="700" spans="1:5" s="1366" customFormat="1">
      <c r="A700" s="1124"/>
      <c r="B700" s="1071" t="s">
        <v>1615</v>
      </c>
      <c r="C700" s="1065"/>
      <c r="D700" s="1152"/>
      <c r="E700" s="1152"/>
    </row>
    <row r="701" spans="1:5" s="1366" customFormat="1">
      <c r="A701" s="1124"/>
      <c r="B701" s="1071" t="s">
        <v>1558</v>
      </c>
      <c r="C701" s="1152">
        <v>0</v>
      </c>
      <c r="D701" s="1152">
        <v>0</v>
      </c>
      <c r="E701" s="1152">
        <f t="shared" ref="E701:E705" si="86">C701+D701</f>
        <v>0</v>
      </c>
    </row>
    <row r="702" spans="1:5" s="1366" customFormat="1">
      <c r="A702" s="1124"/>
      <c r="B702" s="1071" t="s">
        <v>1585</v>
      </c>
      <c r="C702" s="1152">
        <v>0</v>
      </c>
      <c r="D702" s="1152">
        <v>0</v>
      </c>
      <c r="E702" s="1152">
        <f t="shared" si="86"/>
        <v>0</v>
      </c>
    </row>
    <row r="703" spans="1:5" s="1366" customFormat="1">
      <c r="A703" s="1124"/>
      <c r="B703" s="1071" t="s">
        <v>1559</v>
      </c>
      <c r="C703" s="1152">
        <v>0</v>
      </c>
      <c r="D703" s="1152">
        <v>0</v>
      </c>
      <c r="E703" s="1152">
        <f t="shared" si="86"/>
        <v>0</v>
      </c>
    </row>
    <row r="704" spans="1:5" s="1366" customFormat="1">
      <c r="A704" s="1124"/>
      <c r="B704" s="1071" t="s">
        <v>1560</v>
      </c>
      <c r="C704" s="1152">
        <v>0</v>
      </c>
      <c r="D704" s="1152">
        <v>0</v>
      </c>
      <c r="E704" s="1152">
        <f t="shared" si="86"/>
        <v>0</v>
      </c>
    </row>
    <row r="705" spans="1:5" s="1366" customFormat="1">
      <c r="A705" s="1124"/>
      <c r="B705" s="1071" t="s">
        <v>1586</v>
      </c>
      <c r="C705" s="1152">
        <v>0</v>
      </c>
      <c r="D705" s="1152">
        <v>0</v>
      </c>
      <c r="E705" s="1152">
        <f t="shared" si="86"/>
        <v>0</v>
      </c>
    </row>
    <row r="706" spans="1:5" s="1366" customFormat="1">
      <c r="A706" s="1124"/>
      <c r="B706" s="1071" t="s">
        <v>1616</v>
      </c>
      <c r="C706" s="1065"/>
      <c r="D706" s="1152"/>
      <c r="E706" s="1152"/>
    </row>
    <row r="707" spans="1:5" s="1366" customFormat="1">
      <c r="A707" s="1124"/>
      <c r="B707" s="1071" t="s">
        <v>1587</v>
      </c>
      <c r="C707" s="1152">
        <v>0</v>
      </c>
      <c r="D707" s="1152">
        <v>0</v>
      </c>
      <c r="E707" s="1152">
        <f t="shared" ref="E707:E711" si="87">C707+D707</f>
        <v>0</v>
      </c>
    </row>
    <row r="708" spans="1:5" s="1366" customFormat="1">
      <c r="A708" s="1124"/>
      <c r="B708" s="1071" t="s">
        <v>1588</v>
      </c>
      <c r="C708" s="1152">
        <v>0</v>
      </c>
      <c r="D708" s="1152">
        <v>0</v>
      </c>
      <c r="E708" s="1152">
        <f t="shared" si="87"/>
        <v>0</v>
      </c>
    </row>
    <row r="709" spans="1:5" s="1366" customFormat="1">
      <c r="A709" s="1124"/>
      <c r="B709" s="1071" t="s">
        <v>1589</v>
      </c>
      <c r="C709" s="1152">
        <v>0</v>
      </c>
      <c r="D709" s="1152">
        <v>0</v>
      </c>
      <c r="E709" s="1152">
        <f t="shared" si="87"/>
        <v>0</v>
      </c>
    </row>
    <row r="710" spans="1:5" s="1366" customFormat="1">
      <c r="A710" s="1124"/>
      <c r="B710" s="1071" t="s">
        <v>1590</v>
      </c>
      <c r="C710" s="1152">
        <v>0</v>
      </c>
      <c r="D710" s="1152">
        <v>0</v>
      </c>
      <c r="E710" s="1152">
        <f t="shared" si="87"/>
        <v>0</v>
      </c>
    </row>
    <row r="711" spans="1:5" s="1366" customFormat="1">
      <c r="A711" s="1124"/>
      <c r="B711" s="1071" t="s">
        <v>1562</v>
      </c>
      <c r="C711" s="1152">
        <v>0</v>
      </c>
      <c r="D711" s="1152">
        <v>0</v>
      </c>
      <c r="E711" s="1152">
        <f t="shared" si="87"/>
        <v>0</v>
      </c>
    </row>
    <row r="712" spans="1:5" s="1366" customFormat="1">
      <c r="A712" s="1124"/>
      <c r="B712" s="1071" t="s">
        <v>1591</v>
      </c>
      <c r="C712" s="1152">
        <v>0</v>
      </c>
      <c r="D712" s="1152">
        <v>0</v>
      </c>
      <c r="E712" s="1152">
        <f t="shared" ref="E712" si="88">C712+D712</f>
        <v>0</v>
      </c>
    </row>
    <row r="713" spans="1:5" s="1366" customFormat="1">
      <c r="A713" s="1124"/>
      <c r="B713" s="1071" t="s">
        <v>1592</v>
      </c>
      <c r="C713" s="1152">
        <v>0</v>
      </c>
      <c r="D713" s="1152">
        <v>0</v>
      </c>
      <c r="E713" s="1152">
        <f t="shared" ref="E713:E719" si="89">C713+D713</f>
        <v>0</v>
      </c>
    </row>
    <row r="714" spans="1:5" s="1366" customFormat="1">
      <c r="A714" s="1124"/>
      <c r="B714" s="1071" t="s">
        <v>1593</v>
      </c>
      <c r="C714" s="1152">
        <v>0</v>
      </c>
      <c r="D714" s="1152">
        <v>0</v>
      </c>
      <c r="E714" s="1152">
        <f t="shared" si="89"/>
        <v>0</v>
      </c>
    </row>
    <row r="715" spans="1:5" s="1366" customFormat="1">
      <c r="A715" s="1124"/>
      <c r="B715" s="1071" t="s">
        <v>1594</v>
      </c>
      <c r="C715" s="1152">
        <v>0</v>
      </c>
      <c r="D715" s="1152">
        <v>0</v>
      </c>
      <c r="E715" s="1152">
        <f t="shared" si="89"/>
        <v>0</v>
      </c>
    </row>
    <row r="716" spans="1:5" s="1366" customFormat="1">
      <c r="A716" s="1124"/>
      <c r="B716" s="1071" t="s">
        <v>1595</v>
      </c>
      <c r="C716" s="1152">
        <v>0</v>
      </c>
      <c r="D716" s="1152">
        <v>0</v>
      </c>
      <c r="E716" s="1152">
        <f t="shared" si="89"/>
        <v>0</v>
      </c>
    </row>
    <row r="717" spans="1:5" s="1366" customFormat="1">
      <c r="A717" s="1124"/>
      <c r="B717" s="1071" t="s">
        <v>1596</v>
      </c>
      <c r="C717" s="1152">
        <v>0</v>
      </c>
      <c r="D717" s="1152">
        <v>0</v>
      </c>
      <c r="E717" s="1152">
        <f t="shared" si="89"/>
        <v>0</v>
      </c>
    </row>
    <row r="718" spans="1:5" s="1366" customFormat="1">
      <c r="A718" s="1124"/>
      <c r="B718" s="1071" t="s">
        <v>1563</v>
      </c>
      <c r="C718" s="1152">
        <v>0</v>
      </c>
      <c r="D718" s="1152">
        <v>0</v>
      </c>
      <c r="E718" s="1152">
        <f t="shared" si="89"/>
        <v>0</v>
      </c>
    </row>
    <row r="719" spans="1:5" s="1366" customFormat="1">
      <c r="A719" s="1124"/>
      <c r="B719" s="1071" t="s">
        <v>1548</v>
      </c>
      <c r="C719" s="1152">
        <v>0</v>
      </c>
      <c r="D719" s="1152">
        <v>0</v>
      </c>
      <c r="E719" s="1152">
        <f t="shared" si="89"/>
        <v>0</v>
      </c>
    </row>
    <row r="720" spans="1:5" s="1366" customFormat="1">
      <c r="A720" s="1124"/>
      <c r="B720" s="1071"/>
      <c r="C720" s="1150">
        <f>SUM(C686:C719)</f>
        <v>0</v>
      </c>
      <c r="D720" s="1150">
        <f>SUM(D686:D719)</f>
        <v>0</v>
      </c>
      <c r="E720" s="1150">
        <f>C720+D720</f>
        <v>0</v>
      </c>
    </row>
    <row r="721" spans="1:5">
      <c r="B721" s="1071" t="s">
        <v>1617</v>
      </c>
      <c r="C721" s="1152">
        <v>0</v>
      </c>
      <c r="D721" s="1152">
        <v>0</v>
      </c>
      <c r="E721" s="1152">
        <f>C721+D721</f>
        <v>0</v>
      </c>
    </row>
    <row r="722" spans="1:5">
      <c r="B722" s="1071" t="s">
        <v>1618</v>
      </c>
      <c r="C722" s="1152">
        <v>0</v>
      </c>
      <c r="D722" s="1152">
        <v>0</v>
      </c>
      <c r="E722" s="1152">
        <f t="shared" ref="E722" si="90">C722+D722</f>
        <v>0</v>
      </c>
    </row>
    <row r="723" spans="1:5">
      <c r="B723" s="1085"/>
      <c r="C723" s="1125"/>
      <c r="D723" s="1125"/>
      <c r="E723" s="1125"/>
    </row>
    <row r="724" spans="1:5">
      <c r="B724" s="1098" t="s">
        <v>806</v>
      </c>
      <c r="C724" s="1156">
        <f>SUM(C720:C722)</f>
        <v>0</v>
      </c>
      <c r="D724" s="1156">
        <f t="shared" ref="D724:E724" si="91">SUM(D720:D722)</f>
        <v>0</v>
      </c>
      <c r="E724" s="1156">
        <f t="shared" si="91"/>
        <v>0</v>
      </c>
    </row>
    <row r="725" spans="1:5">
      <c r="C725" s="1201"/>
    </row>
    <row r="726" spans="1:5">
      <c r="B726" s="1574" t="s">
        <v>1717</v>
      </c>
      <c r="C726" s="1574"/>
      <c r="D726" s="1574"/>
      <c r="E726" s="1574"/>
    </row>
    <row r="727" spans="1:5" s="1366" customFormat="1">
      <c r="A727" s="1124"/>
    </row>
    <row r="728" spans="1:5">
      <c r="A728" s="1124">
        <f>A682+1</f>
        <v>29</v>
      </c>
      <c r="B728" s="1041" t="s">
        <v>1718</v>
      </c>
      <c r="E728" s="1257"/>
    </row>
    <row r="729" spans="1:5">
      <c r="B729" s="1257"/>
      <c r="C729" s="1257"/>
      <c r="E729" s="1105" t="s">
        <v>1471</v>
      </c>
    </row>
    <row r="730" spans="1:5">
      <c r="B730" s="1057" t="s">
        <v>77</v>
      </c>
      <c r="C730" s="1319">
        <v>42460</v>
      </c>
      <c r="D730" s="1138" t="s">
        <v>1287</v>
      </c>
      <c r="E730" s="1146" t="s">
        <v>1474</v>
      </c>
    </row>
    <row r="731" spans="1:5">
      <c r="B731" s="1112" t="s">
        <v>1337</v>
      </c>
      <c r="C731" s="1081"/>
      <c r="D731" s="1069"/>
      <c r="E731" s="1080"/>
    </row>
    <row r="732" spans="1:5">
      <c r="B732" s="1080" t="s">
        <v>1573</v>
      </c>
      <c r="C732" s="1065">
        <v>0</v>
      </c>
      <c r="D732" s="1052">
        <v>0</v>
      </c>
      <c r="E732" s="1094">
        <f t="shared" ref="E732:E736" si="92">SUM(C732:D732)</f>
        <v>0</v>
      </c>
    </row>
    <row r="733" spans="1:5">
      <c r="B733" s="1080" t="s">
        <v>1574</v>
      </c>
      <c r="C733" s="1065">
        <v>0</v>
      </c>
      <c r="D733" s="1052">
        <v>0</v>
      </c>
      <c r="E733" s="1094">
        <f t="shared" si="92"/>
        <v>0</v>
      </c>
    </row>
    <row r="734" spans="1:5">
      <c r="B734" s="1080" t="s">
        <v>1575</v>
      </c>
      <c r="C734" s="1065">
        <v>0</v>
      </c>
      <c r="D734" s="1052">
        <v>0</v>
      </c>
      <c r="E734" s="1094">
        <f t="shared" si="92"/>
        <v>0</v>
      </c>
    </row>
    <row r="735" spans="1:5">
      <c r="B735" s="1080" t="s">
        <v>1621</v>
      </c>
      <c r="C735" s="1065">
        <v>0</v>
      </c>
      <c r="D735" s="1052">
        <v>0</v>
      </c>
      <c r="E735" s="1094">
        <f t="shared" si="92"/>
        <v>0</v>
      </c>
    </row>
    <row r="736" spans="1:5">
      <c r="B736" s="1080" t="s">
        <v>1576</v>
      </c>
      <c r="C736" s="1065">
        <v>0</v>
      </c>
      <c r="D736" s="1052">
        <v>0</v>
      </c>
      <c r="E736" s="1094">
        <f t="shared" si="92"/>
        <v>0</v>
      </c>
    </row>
    <row r="737" spans="1:5" s="1366" customFormat="1">
      <c r="A737" s="1124"/>
      <c r="B737" s="1080" t="s">
        <v>1668</v>
      </c>
      <c r="C737" s="1065">
        <v>0</v>
      </c>
      <c r="D737" s="1052">
        <v>0</v>
      </c>
      <c r="E737" s="1094">
        <f t="shared" ref="E737" si="93">SUM(C737:D737)</f>
        <v>0</v>
      </c>
    </row>
    <row r="738" spans="1:5">
      <c r="B738" s="1113"/>
      <c r="C738" s="1096">
        <f>SUM(C732:C737)</f>
        <v>0</v>
      </c>
      <c r="D738" s="1096">
        <f t="shared" ref="D738:E738" si="94">SUM(D732:D737)</f>
        <v>0</v>
      </c>
      <c r="E738" s="1096">
        <f t="shared" si="94"/>
        <v>0</v>
      </c>
    </row>
    <row r="739" spans="1:5">
      <c r="B739" s="1112" t="s">
        <v>1577</v>
      </c>
      <c r="C739" s="1065"/>
      <c r="D739" s="1069"/>
      <c r="E739" s="1080"/>
    </row>
    <row r="740" spans="1:5">
      <c r="B740" s="1080" t="s">
        <v>1578</v>
      </c>
      <c r="C740" s="1065">
        <v>0</v>
      </c>
      <c r="D740" s="1069">
        <v>0</v>
      </c>
      <c r="E740" s="1094">
        <f t="shared" ref="E740:E742" si="95">SUM(C740:D740)</f>
        <v>0</v>
      </c>
    </row>
    <row r="741" spans="1:5">
      <c r="B741" s="1080" t="s">
        <v>1622</v>
      </c>
      <c r="C741" s="1065">
        <v>0</v>
      </c>
      <c r="D741" s="1069">
        <v>0</v>
      </c>
      <c r="E741" s="1094">
        <f t="shared" si="95"/>
        <v>0</v>
      </c>
    </row>
    <row r="742" spans="1:5">
      <c r="B742" s="1080" t="s">
        <v>1668</v>
      </c>
      <c r="C742" s="1065">
        <v>0</v>
      </c>
      <c r="D742" s="1069">
        <v>0</v>
      </c>
      <c r="E742" s="1094">
        <f t="shared" si="95"/>
        <v>0</v>
      </c>
    </row>
    <row r="743" spans="1:5">
      <c r="B743" s="1113"/>
      <c r="C743" s="1096">
        <f>SUM(C740:C742)</f>
        <v>0</v>
      </c>
      <c r="D743" s="1096">
        <f t="shared" ref="D743:E743" si="96">SUM(D740:D742)</f>
        <v>0</v>
      </c>
      <c r="E743" s="1096">
        <f t="shared" si="96"/>
        <v>0</v>
      </c>
    </row>
    <row r="744" spans="1:5">
      <c r="B744" s="1114"/>
      <c r="C744" s="1065"/>
      <c r="D744" s="1052"/>
      <c r="E744" s="1080"/>
    </row>
    <row r="745" spans="1:5">
      <c r="B745" s="1098" t="s">
        <v>806</v>
      </c>
      <c r="C745" s="1170">
        <f>C738+C743</f>
        <v>0</v>
      </c>
      <c r="D745" s="1170">
        <f t="shared" ref="D745:E745" si="97">D738+D743</f>
        <v>0</v>
      </c>
      <c r="E745" s="1170">
        <f t="shared" si="97"/>
        <v>0</v>
      </c>
    </row>
    <row r="746" spans="1:5">
      <c r="B746" s="1257"/>
      <c r="C746" s="1257"/>
      <c r="E746" s="1257"/>
    </row>
  </sheetData>
  <mergeCells count="23">
    <mergeCell ref="B587:E587"/>
    <mergeCell ref="B631:E631"/>
    <mergeCell ref="B726:E726"/>
    <mergeCell ref="B482:E482"/>
    <mergeCell ref="B668:E668"/>
    <mergeCell ref="B680:E680"/>
    <mergeCell ref="B403:E403"/>
    <mergeCell ref="B430:C430"/>
    <mergeCell ref="C488:D488"/>
    <mergeCell ref="C510:D510"/>
    <mergeCell ref="B428:E428"/>
    <mergeCell ref="B483:E483"/>
    <mergeCell ref="B80:E80"/>
    <mergeCell ref="B166:E166"/>
    <mergeCell ref="B153:E153"/>
    <mergeCell ref="B402:E402"/>
    <mergeCell ref="B330:E330"/>
    <mergeCell ref="B169:C169"/>
    <mergeCell ref="B315:E315"/>
    <mergeCell ref="B250:E250"/>
    <mergeCell ref="B251:E251"/>
    <mergeCell ref="B252:E252"/>
    <mergeCell ref="B401:E401"/>
  </mergeCells>
  <phoneticPr fontId="3" type="noConversion"/>
  <printOptions horizontalCentered="1"/>
  <pageMargins left="0.19" right="0.25" top="0.683070866" bottom="0.25" header="0.118110236220472" footer="0.118110236220472"/>
  <pageSetup paperSize="9" scale="62" fitToHeight="16" orientation="portrait" r:id="rId1"/>
  <headerFooter scaleWithDoc="0" alignWithMargins="0"/>
  <rowBreaks count="4" manualBreakCount="4">
    <brk id="316" max="4" man="1"/>
    <brk id="525" max="4" man="1"/>
    <brk id="600" max="4" man="1"/>
    <brk id="681" max="4"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25"/>
  <sheetViews>
    <sheetView showGridLines="0" view="pageBreakPreview" zoomScale="96" zoomScaleNormal="70" zoomScaleSheetLayoutView="96" workbookViewId="0"/>
  </sheetViews>
  <sheetFormatPr defaultRowHeight="15.75"/>
  <cols>
    <col min="1" max="1" width="28.5703125" style="1027" customWidth="1"/>
    <col min="2" max="2" width="17" style="1027" customWidth="1"/>
    <col min="3" max="3" width="21" style="1027" customWidth="1"/>
    <col min="4" max="4" width="10" style="1027" customWidth="1"/>
    <col min="5" max="5" width="10.42578125" style="1027" customWidth="1"/>
    <col min="6" max="6" width="13.28515625" style="1027" customWidth="1"/>
    <col min="7" max="7" width="14.5703125" style="1027" customWidth="1"/>
    <col min="8" max="8" width="14.140625" style="1027" customWidth="1"/>
    <col min="9" max="9" width="20.42578125" style="1027" customWidth="1"/>
    <col min="10" max="10" width="0.140625" style="1027" hidden="1" customWidth="1"/>
    <col min="11" max="11" width="18.85546875" style="1027" customWidth="1"/>
    <col min="12" max="12" width="19.42578125" style="1027" customWidth="1"/>
    <col min="13" max="13" width="11.85546875" style="1027" customWidth="1"/>
    <col min="14" max="14" width="14.28515625" style="1027" bestFit="1" customWidth="1"/>
    <col min="15" max="15" width="10.140625" style="1027" customWidth="1"/>
    <col min="16" max="16" width="14.7109375" style="1027" customWidth="1"/>
    <col min="17" max="17" width="13.140625" style="1027" customWidth="1"/>
    <col min="18" max="16384" width="9.140625" style="1027"/>
  </cols>
  <sheetData>
    <row r="1" spans="1:28">
      <c r="A1" s="1353" t="s">
        <v>1466</v>
      </c>
      <c r="B1" s="1353"/>
      <c r="C1" s="1353"/>
      <c r="D1" s="1353"/>
    </row>
    <row r="2" spans="1:28">
      <c r="A2" s="1354" t="s">
        <v>1468</v>
      </c>
      <c r="B2" s="1354"/>
      <c r="C2" s="1354"/>
      <c r="D2" s="1354"/>
    </row>
    <row r="4" spans="1:28">
      <c r="P4" s="1595" t="s">
        <v>1470</v>
      </c>
      <c r="Q4" s="1595"/>
    </row>
    <row r="5" spans="1:28">
      <c r="A5" s="985" t="s">
        <v>1469</v>
      </c>
      <c r="B5" s="883"/>
      <c r="C5" s="883"/>
      <c r="D5" s="883"/>
      <c r="E5" s="883"/>
      <c r="F5" s="883"/>
      <c r="G5" s="883"/>
      <c r="H5" s="883"/>
      <c r="I5" s="883"/>
      <c r="J5" s="883"/>
      <c r="K5" s="883"/>
      <c r="L5" s="883"/>
      <c r="M5" s="883"/>
      <c r="N5" s="883"/>
      <c r="O5" s="883"/>
      <c r="P5" s="883"/>
      <c r="Q5" s="883"/>
    </row>
    <row r="6" spans="1:28">
      <c r="A6" s="985" t="s">
        <v>1299</v>
      </c>
      <c r="B6" s="883"/>
      <c r="C6" s="883"/>
      <c r="D6" s="883"/>
      <c r="E6" s="883"/>
      <c r="F6" s="883"/>
      <c r="G6" s="883"/>
      <c r="H6" s="883"/>
      <c r="I6" s="883"/>
      <c r="J6" s="883"/>
      <c r="K6" s="883"/>
      <c r="L6" s="883"/>
      <c r="M6" s="883"/>
      <c r="N6" s="883"/>
      <c r="O6" s="883"/>
      <c r="P6" s="883"/>
      <c r="Q6" s="883"/>
    </row>
    <row r="7" spans="1:28" ht="63">
      <c r="A7" s="1325"/>
      <c r="B7" s="1326"/>
      <c r="C7" s="1326"/>
      <c r="D7" s="1326"/>
      <c r="E7" s="1596" t="s">
        <v>1300</v>
      </c>
      <c r="F7" s="1597"/>
      <c r="G7" s="1597"/>
      <c r="H7" s="1598"/>
      <c r="I7" s="1327" t="s">
        <v>1301</v>
      </c>
      <c r="J7" s="1599" t="s">
        <v>1302</v>
      </c>
      <c r="K7" s="1600"/>
      <c r="L7" s="1600"/>
      <c r="M7" s="1600"/>
      <c r="N7" s="1600"/>
      <c r="O7" s="1600"/>
      <c r="P7" s="1600"/>
      <c r="Q7" s="1601"/>
    </row>
    <row r="8" spans="1:28">
      <c r="A8" s="1328"/>
      <c r="B8" s="1329"/>
      <c r="C8" s="1329"/>
      <c r="D8" s="1329"/>
      <c r="E8" s="1602">
        <v>0</v>
      </c>
      <c r="F8" s="1603"/>
      <c r="G8" s="1603"/>
      <c r="H8" s="1604"/>
      <c r="I8" s="1330">
        <v>0</v>
      </c>
      <c r="J8" s="1602">
        <v>0</v>
      </c>
      <c r="K8" s="1603"/>
      <c r="L8" s="1603"/>
      <c r="M8" s="1603"/>
      <c r="N8" s="1603"/>
      <c r="O8" s="1603"/>
      <c r="P8" s="1603"/>
      <c r="Q8" s="1605"/>
    </row>
    <row r="9" spans="1:28">
      <c r="A9" s="1141"/>
      <c r="B9" s="1141"/>
      <c r="C9" s="1141"/>
      <c r="D9" s="1141"/>
      <c r="E9" s="1145"/>
      <c r="F9" s="1142"/>
      <c r="G9" s="1142"/>
      <c r="H9" s="1142"/>
      <c r="I9" s="1142"/>
      <c r="J9" s="1145"/>
      <c r="K9" s="1142"/>
      <c r="L9" s="1142"/>
      <c r="M9" s="1142"/>
      <c r="N9" s="1142"/>
      <c r="O9" s="1142"/>
      <c r="P9" s="1142"/>
      <c r="Q9" s="1142"/>
      <c r="R9" s="1133"/>
      <c r="S9" s="1133"/>
      <c r="T9" s="1133"/>
      <c r="U9" s="1133"/>
      <c r="V9" s="1133"/>
      <c r="W9" s="1133"/>
      <c r="X9" s="1133"/>
      <c r="Y9" s="1133"/>
      <c r="Z9" s="1133"/>
      <c r="AA9" s="1133"/>
      <c r="AB9" s="1133"/>
    </row>
    <row r="10" spans="1:28">
      <c r="A10" s="1141"/>
      <c r="B10" s="1141"/>
      <c r="C10" s="1141"/>
      <c r="D10" s="1141"/>
      <c r="E10" s="1145"/>
      <c r="F10" s="1142"/>
      <c r="G10" s="1142"/>
      <c r="H10" s="1142"/>
      <c r="I10" s="1142"/>
      <c r="J10" s="1145"/>
      <c r="K10" s="1142"/>
      <c r="L10" s="1142"/>
      <c r="M10" s="1142"/>
      <c r="N10" s="1142"/>
      <c r="O10" s="1142"/>
      <c r="P10" s="1142"/>
      <c r="Q10" s="1142"/>
      <c r="R10" s="1133"/>
      <c r="S10" s="1133"/>
      <c r="T10" s="1133"/>
      <c r="U10" s="1133"/>
      <c r="V10" s="1133"/>
      <c r="W10" s="1133"/>
      <c r="X10" s="1133"/>
      <c r="Y10" s="1133"/>
      <c r="Z10" s="1133"/>
      <c r="AA10" s="1133"/>
      <c r="AB10" s="1133"/>
    </row>
    <row r="11" spans="1:28">
      <c r="A11" s="1141"/>
      <c r="B11" s="1141"/>
      <c r="C11" s="1141"/>
      <c r="D11" s="1141"/>
      <c r="E11" s="1145"/>
      <c r="F11" s="1142"/>
      <c r="G11" s="1142"/>
      <c r="H11" s="1142"/>
      <c r="I11" s="1142"/>
      <c r="J11" s="1145"/>
      <c r="K11" s="1142"/>
      <c r="L11" s="1142"/>
      <c r="M11" s="1142"/>
      <c r="N11" s="1142"/>
      <c r="O11" s="1142"/>
      <c r="P11" s="1142"/>
      <c r="Q11" s="1142"/>
      <c r="R11" s="1133"/>
      <c r="S11" s="1133"/>
      <c r="T11" s="1133"/>
      <c r="U11" s="1133"/>
      <c r="V11" s="1133"/>
      <c r="W11" s="1133"/>
      <c r="X11" s="1133"/>
      <c r="Y11" s="1133"/>
      <c r="Z11" s="1133"/>
      <c r="AA11" s="1133"/>
      <c r="AB11" s="1133"/>
    </row>
    <row r="12" spans="1:28">
      <c r="A12" s="985" t="s">
        <v>1303</v>
      </c>
      <c r="B12" s="1141"/>
      <c r="C12" s="1141"/>
      <c r="D12" s="1141"/>
      <c r="E12" s="1145"/>
      <c r="F12" s="1142"/>
      <c r="G12" s="1142"/>
      <c r="H12" s="1142"/>
      <c r="I12" s="1142"/>
      <c r="J12" s="1145"/>
      <c r="K12" s="1142"/>
      <c r="L12" s="1142"/>
      <c r="M12" s="1142"/>
      <c r="N12" s="1142"/>
      <c r="O12" s="1142"/>
      <c r="P12" s="1142"/>
      <c r="Q12" s="1143"/>
    </row>
    <row r="13" spans="1:28" ht="15.75" customHeight="1">
      <c r="A13" s="1587"/>
      <c r="B13" s="1585" t="s">
        <v>1290</v>
      </c>
      <c r="C13" s="1585" t="s">
        <v>1394</v>
      </c>
      <c r="D13" s="1592"/>
      <c r="E13" s="1593"/>
      <c r="F13" s="1593"/>
      <c r="G13" s="1593"/>
      <c r="H13" s="1594"/>
      <c r="I13" s="1589" t="s">
        <v>1404</v>
      </c>
      <c r="J13" s="1590"/>
      <c r="K13" s="1583" t="s">
        <v>1405</v>
      </c>
      <c r="L13" s="1583" t="s">
        <v>1399</v>
      </c>
      <c r="M13" s="1583" t="s">
        <v>1400</v>
      </c>
      <c r="N13" s="1583" t="s">
        <v>1401</v>
      </c>
      <c r="O13" s="1585" t="s">
        <v>1402</v>
      </c>
      <c r="P13" s="1583" t="s">
        <v>1403</v>
      </c>
      <c r="Q13" s="1583" t="s">
        <v>806</v>
      </c>
    </row>
    <row r="14" spans="1:28" ht="66.75" customHeight="1">
      <c r="A14" s="1588"/>
      <c r="B14" s="1586"/>
      <c r="C14" s="1586"/>
      <c r="D14" s="1331" t="s">
        <v>844</v>
      </c>
      <c r="E14" s="1332" t="s">
        <v>843</v>
      </c>
      <c r="F14" s="1332" t="s">
        <v>1395</v>
      </c>
      <c r="G14" s="1332" t="s">
        <v>1499</v>
      </c>
      <c r="H14" s="1333" t="s">
        <v>1501</v>
      </c>
      <c r="I14" s="1591"/>
      <c r="J14" s="1591"/>
      <c r="K14" s="1584"/>
      <c r="L14" s="1584"/>
      <c r="M14" s="1584"/>
      <c r="N14" s="1584"/>
      <c r="O14" s="1586"/>
      <c r="P14" s="1584"/>
      <c r="Q14" s="1584"/>
    </row>
    <row r="15" spans="1:28" ht="31.5">
      <c r="A15" s="1334" t="s">
        <v>1300</v>
      </c>
      <c r="B15" s="1335">
        <v>0</v>
      </c>
      <c r="C15" s="1335">
        <v>0</v>
      </c>
      <c r="D15" s="1336">
        <f>+Notes!C531</f>
        <v>0</v>
      </c>
      <c r="E15" s="1337">
        <f>+Notes!C522</f>
        <v>0</v>
      </c>
      <c r="F15" s="1335">
        <v>0</v>
      </c>
      <c r="G15" s="1337">
        <f>Notes!E528</f>
        <v>0</v>
      </c>
      <c r="H15" s="1338">
        <f>+Notes!C537</f>
        <v>0</v>
      </c>
      <c r="I15" s="1335">
        <v>0</v>
      </c>
      <c r="J15" s="1339"/>
      <c r="K15" s="1335">
        <v>0</v>
      </c>
      <c r="L15" s="1335">
        <v>0</v>
      </c>
      <c r="M15" s="1335">
        <v>0</v>
      </c>
      <c r="N15" s="1335">
        <v>0</v>
      </c>
      <c r="O15" s="1335">
        <v>0</v>
      </c>
      <c r="P15" s="1335">
        <v>0</v>
      </c>
      <c r="Q15" s="1340">
        <f>SUM(B15:P15)</f>
        <v>0</v>
      </c>
    </row>
    <row r="16" spans="1:28" ht="31.5">
      <c r="A16" s="1341" t="s">
        <v>1396</v>
      </c>
      <c r="B16" s="1335">
        <v>0</v>
      </c>
      <c r="C16" s="1335">
        <v>0</v>
      </c>
      <c r="D16" s="1342">
        <f>Notes!D531</f>
        <v>0</v>
      </c>
      <c r="E16" s="1343">
        <f>-E15</f>
        <v>0</v>
      </c>
      <c r="F16" s="1335">
        <v>0</v>
      </c>
      <c r="G16" s="1335">
        <v>0</v>
      </c>
      <c r="H16" s="1342">
        <v>0</v>
      </c>
      <c r="I16" s="1335">
        <v>0</v>
      </c>
      <c r="J16" s="1335">
        <v>0</v>
      </c>
      <c r="K16" s="1335">
        <v>0</v>
      </c>
      <c r="L16" s="1335">
        <v>0</v>
      </c>
      <c r="M16" s="1335">
        <v>0</v>
      </c>
      <c r="N16" s="1335">
        <v>0</v>
      </c>
      <c r="O16" s="1335">
        <v>0</v>
      </c>
      <c r="P16" s="1335">
        <v>0</v>
      </c>
      <c r="Q16" s="1344">
        <f>SUM(B16:P16)</f>
        <v>0</v>
      </c>
    </row>
    <row r="17" spans="1:17" ht="31.5">
      <c r="A17" s="1345" t="s">
        <v>1397</v>
      </c>
      <c r="B17" s="1335">
        <v>0</v>
      </c>
      <c r="C17" s="1335">
        <v>0</v>
      </c>
      <c r="D17" s="1335">
        <v>0</v>
      </c>
      <c r="E17" s="1346"/>
      <c r="F17" s="1355"/>
      <c r="G17" s="1346"/>
      <c r="H17" s="1347"/>
      <c r="I17" s="1335">
        <v>0</v>
      </c>
      <c r="J17" s="1335">
        <v>0</v>
      </c>
      <c r="K17" s="1335">
        <v>0</v>
      </c>
      <c r="L17" s="1335">
        <v>0</v>
      </c>
      <c r="M17" s="1335">
        <v>0</v>
      </c>
      <c r="N17" s="1335">
        <v>0</v>
      </c>
      <c r="O17" s="1335">
        <v>0</v>
      </c>
      <c r="P17" s="1335">
        <v>0</v>
      </c>
      <c r="Q17" s="1348">
        <f t="shared" ref="Q17:Q20" si="0">SUM(B17:P17)</f>
        <v>0</v>
      </c>
    </row>
    <row r="18" spans="1:17">
      <c r="A18" s="1345" t="s">
        <v>1304</v>
      </c>
      <c r="B18" s="1335">
        <v>0</v>
      </c>
      <c r="C18" s="1335">
        <v>0</v>
      </c>
      <c r="D18" s="1335">
        <v>0</v>
      </c>
      <c r="E18" s="1335">
        <v>0</v>
      </c>
      <c r="F18" s="1335">
        <v>0</v>
      </c>
      <c r="G18" s="1335">
        <v>0</v>
      </c>
      <c r="H18" s="1144">
        <v>0</v>
      </c>
      <c r="I18" s="1335">
        <v>0</v>
      </c>
      <c r="J18" s="1335">
        <v>0</v>
      </c>
      <c r="K18" s="1335">
        <v>0</v>
      </c>
      <c r="L18" s="1335">
        <v>0</v>
      </c>
      <c r="M18" s="1335">
        <v>0</v>
      </c>
      <c r="N18" s="1335">
        <v>0</v>
      </c>
      <c r="O18" s="1335">
        <v>0</v>
      </c>
      <c r="P18" s="1335">
        <v>0</v>
      </c>
      <c r="Q18" s="1340">
        <f>SUM(B18:P18)</f>
        <v>0</v>
      </c>
    </row>
    <row r="19" spans="1:17">
      <c r="A19" s="1345" t="s">
        <v>1305</v>
      </c>
      <c r="B19" s="1335">
        <v>0</v>
      </c>
      <c r="C19" s="1335">
        <v>0</v>
      </c>
      <c r="D19" s="1335">
        <v>0</v>
      </c>
      <c r="E19" s="1335">
        <v>0</v>
      </c>
      <c r="F19" s="1335">
        <v>0</v>
      </c>
      <c r="G19" s="1335">
        <v>0</v>
      </c>
      <c r="H19" s="1335">
        <v>0</v>
      </c>
      <c r="I19" s="1335">
        <v>0</v>
      </c>
      <c r="J19" s="1335">
        <v>0</v>
      </c>
      <c r="K19" s="1335">
        <v>0</v>
      </c>
      <c r="L19" s="1335">
        <v>0</v>
      </c>
      <c r="M19" s="1335">
        <v>0</v>
      </c>
      <c r="N19" s="1335">
        <v>0</v>
      </c>
      <c r="O19" s="1335">
        <v>0</v>
      </c>
      <c r="P19" s="1335">
        <v>0</v>
      </c>
      <c r="Q19" s="1348">
        <f t="shared" si="0"/>
        <v>0</v>
      </c>
    </row>
    <row r="20" spans="1:17">
      <c r="A20" s="1345" t="s">
        <v>1398</v>
      </c>
      <c r="B20" s="1335">
        <v>0</v>
      </c>
      <c r="C20" s="1335">
        <v>0</v>
      </c>
      <c r="D20" s="1335">
        <v>0</v>
      </c>
      <c r="E20" s="1335">
        <v>0</v>
      </c>
      <c r="F20" s="1335">
        <v>0</v>
      </c>
      <c r="G20" s="1335">
        <v>0</v>
      </c>
      <c r="H20" s="1335">
        <v>0</v>
      </c>
      <c r="I20" s="1335">
        <v>0</v>
      </c>
      <c r="J20" s="1335">
        <v>0</v>
      </c>
      <c r="K20" s="1335">
        <v>0</v>
      </c>
      <c r="L20" s="1335">
        <v>0</v>
      </c>
      <c r="M20" s="1335">
        <v>0</v>
      </c>
      <c r="N20" s="1335">
        <v>0</v>
      </c>
      <c r="O20" s="1335">
        <v>0</v>
      </c>
      <c r="P20" s="1335">
        <v>0</v>
      </c>
      <c r="Q20" s="1348">
        <f t="shared" si="0"/>
        <v>0</v>
      </c>
    </row>
    <row r="21" spans="1:17" ht="31.5">
      <c r="A21" s="1349" t="s">
        <v>1302</v>
      </c>
      <c r="B21" s="1349">
        <f>SUM(B15:B20)</f>
        <v>0</v>
      </c>
      <c r="C21" s="1349">
        <f t="shared" ref="C21:Q21" si="1">SUM(C15:C20)</f>
        <v>0</v>
      </c>
      <c r="D21" s="1350">
        <f t="shared" si="1"/>
        <v>0</v>
      </c>
      <c r="E21" s="1349">
        <f t="shared" si="1"/>
        <v>0</v>
      </c>
      <c r="F21" s="1349">
        <f t="shared" si="1"/>
        <v>0</v>
      </c>
      <c r="G21" s="1351">
        <f t="shared" si="1"/>
        <v>0</v>
      </c>
      <c r="H21" s="1351">
        <f t="shared" si="1"/>
        <v>0</v>
      </c>
      <c r="I21" s="1352">
        <v>0</v>
      </c>
      <c r="J21" s="1349">
        <f t="shared" si="1"/>
        <v>0</v>
      </c>
      <c r="K21" s="1352">
        <v>0</v>
      </c>
      <c r="L21" s="1352">
        <v>0</v>
      </c>
      <c r="M21" s="1352">
        <v>0</v>
      </c>
      <c r="N21" s="1352">
        <v>0</v>
      </c>
      <c r="O21" s="1352">
        <v>0</v>
      </c>
      <c r="P21" s="1352">
        <v>0</v>
      </c>
      <c r="Q21" s="1351">
        <f t="shared" si="1"/>
        <v>0</v>
      </c>
    </row>
    <row r="22" spans="1:17">
      <c r="A22" s="1213"/>
      <c r="B22" s="1214"/>
      <c r="C22" s="1214"/>
      <c r="D22" s="1214"/>
      <c r="E22" s="1214"/>
      <c r="F22" s="1214"/>
      <c r="G22" s="1214"/>
      <c r="H22" s="1214"/>
      <c r="I22" s="1214"/>
      <c r="J22" s="1214"/>
      <c r="K22" s="1214"/>
      <c r="L22" s="1214"/>
      <c r="M22" s="1214"/>
      <c r="N22" s="1214"/>
      <c r="O22" s="1214"/>
      <c r="P22" s="1214"/>
      <c r="Q22" s="1215"/>
    </row>
    <row r="23" spans="1:17">
      <c r="A23" s="1134"/>
      <c r="B23" s="1135"/>
      <c r="C23" s="1135"/>
      <c r="D23" s="1135"/>
      <c r="E23" s="1135"/>
      <c r="F23" s="1135"/>
      <c r="G23" s="1135"/>
      <c r="H23" s="1135"/>
      <c r="I23" s="1135"/>
      <c r="J23" s="1135"/>
      <c r="K23" s="1135"/>
      <c r="L23" s="1135"/>
      <c r="M23" s="1135"/>
      <c r="N23" s="1135"/>
      <c r="O23" s="1135"/>
      <c r="P23" s="1135"/>
      <c r="Q23" s="1216"/>
    </row>
    <row r="24" spans="1:17">
      <c r="I24" s="1133"/>
    </row>
    <row r="25" spans="1:17">
      <c r="I25" s="1133"/>
    </row>
  </sheetData>
  <mergeCells count="17">
    <mergeCell ref="P4:Q4"/>
    <mergeCell ref="E7:H7"/>
    <mergeCell ref="J7:Q7"/>
    <mergeCell ref="E8:H8"/>
    <mergeCell ref="J8:Q8"/>
    <mergeCell ref="A13:A14"/>
    <mergeCell ref="B13:B14"/>
    <mergeCell ref="C13:C14"/>
    <mergeCell ref="I13:J14"/>
    <mergeCell ref="D13:H13"/>
    <mergeCell ref="P13:P14"/>
    <mergeCell ref="Q13:Q14"/>
    <mergeCell ref="K13:K14"/>
    <mergeCell ref="L13:L14"/>
    <mergeCell ref="M13:M14"/>
    <mergeCell ref="N13:N14"/>
    <mergeCell ref="O13:O14"/>
  </mergeCells>
  <printOptions horizontalCentered="1"/>
  <pageMargins left="0.511811023622047" right="0.31496062992126" top="0.55118110236220497" bottom="0.35433070866141703" header="0.118110236220472" footer="0.118110236220472"/>
  <pageSetup paperSize="9" scale="5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61"/>
  <sheetViews>
    <sheetView view="pageBreakPreview" zoomScaleSheetLayoutView="100" workbookViewId="0">
      <selection activeCell="A9" sqref="A9"/>
    </sheetView>
  </sheetViews>
  <sheetFormatPr defaultRowHeight="12.75"/>
  <cols>
    <col min="1" max="1" width="35" bestFit="1" customWidth="1"/>
    <col min="2" max="2" width="17.5703125" bestFit="1" customWidth="1"/>
    <col min="3" max="3" width="13.5703125" bestFit="1" customWidth="1"/>
    <col min="4" max="4" width="24" customWidth="1"/>
    <col min="5" max="5" width="16.28515625" bestFit="1" customWidth="1"/>
    <col min="6" max="6" width="17.5703125" bestFit="1" customWidth="1"/>
    <col min="7" max="7" width="29.42578125" customWidth="1"/>
    <col min="8" max="8" width="19.5703125" customWidth="1"/>
    <col min="9" max="9" width="16.85546875" customWidth="1"/>
    <col min="10" max="10" width="17.85546875" customWidth="1"/>
    <col min="11" max="11" width="14.7109375" bestFit="1" customWidth="1"/>
    <col min="12" max="12" width="24.28515625" customWidth="1"/>
    <col min="13" max="13" width="22.7109375" bestFit="1" customWidth="1"/>
    <col min="14" max="14" width="24.85546875" customWidth="1"/>
    <col min="15" max="15" width="15.140625" customWidth="1"/>
  </cols>
  <sheetData>
    <row r="3" spans="1:15" ht="15.75">
      <c r="A3" s="883" t="s">
        <v>1318</v>
      </c>
    </row>
    <row r="5" spans="1:15" ht="15.75">
      <c r="A5" s="969" t="s">
        <v>1314</v>
      </c>
      <c r="B5" s="1607" t="s">
        <v>905</v>
      </c>
      <c r="C5" s="1607"/>
      <c r="D5" s="1607"/>
      <c r="E5" s="1607"/>
      <c r="F5" s="1607"/>
      <c r="G5" s="1606" t="s">
        <v>1315</v>
      </c>
      <c r="H5" s="1606"/>
      <c r="I5" s="1606"/>
      <c r="J5" s="1606"/>
      <c r="K5" s="1606"/>
      <c r="L5" s="1606"/>
      <c r="M5" s="1607" t="s">
        <v>47</v>
      </c>
      <c r="N5" s="1607"/>
      <c r="O5" s="969" t="s">
        <v>1319</v>
      </c>
    </row>
    <row r="6" spans="1:15" ht="47.25">
      <c r="A6" s="969"/>
      <c r="B6" s="969" t="s">
        <v>1306</v>
      </c>
      <c r="C6" s="969" t="s">
        <v>906</v>
      </c>
      <c r="D6" s="969" t="s">
        <v>908</v>
      </c>
      <c r="E6" s="969" t="s">
        <v>907</v>
      </c>
      <c r="F6" s="969" t="s">
        <v>1225</v>
      </c>
      <c r="G6" s="973" t="s">
        <v>1308</v>
      </c>
      <c r="H6" s="969" t="s">
        <v>921</v>
      </c>
      <c r="I6" s="973" t="s">
        <v>922</v>
      </c>
      <c r="J6" s="969" t="s">
        <v>859</v>
      </c>
      <c r="K6" s="969" t="s">
        <v>923</v>
      </c>
      <c r="L6" s="969" t="s">
        <v>1309</v>
      </c>
      <c r="M6" s="970">
        <v>42094</v>
      </c>
      <c r="N6" s="970">
        <v>41729</v>
      </c>
    </row>
    <row r="7" spans="1:15" ht="15.75">
      <c r="A7" s="969" t="s">
        <v>910</v>
      </c>
      <c r="B7" s="969"/>
      <c r="C7" s="969"/>
      <c r="D7" s="969"/>
      <c r="E7" s="969"/>
      <c r="F7" s="969"/>
      <c r="G7" s="969"/>
      <c r="H7" s="969"/>
      <c r="I7" s="969"/>
      <c r="J7" s="969"/>
      <c r="K7" s="969"/>
      <c r="L7" s="969"/>
      <c r="M7" s="969"/>
      <c r="N7" s="969"/>
    </row>
    <row r="8" spans="1:15" ht="15.75">
      <c r="A8" s="969" t="s">
        <v>392</v>
      </c>
      <c r="B8" s="971">
        <f>3659111</f>
        <v>3659111</v>
      </c>
      <c r="C8" s="971">
        <v>0</v>
      </c>
      <c r="D8" s="971">
        <v>0</v>
      </c>
      <c r="E8" s="971">
        <v>0</v>
      </c>
      <c r="F8" s="971">
        <v>3659111</v>
      </c>
      <c r="G8" s="971">
        <v>0</v>
      </c>
      <c r="H8" s="971">
        <v>0</v>
      </c>
      <c r="I8" s="971">
        <v>0</v>
      </c>
      <c r="J8" s="971">
        <v>0</v>
      </c>
      <c r="K8" s="971">
        <v>0</v>
      </c>
      <c r="L8" s="971">
        <v>0</v>
      </c>
      <c r="M8" s="972">
        <f t="shared" ref="M8:M32" si="0">F8-L8</f>
        <v>3659111</v>
      </c>
      <c r="N8" s="972">
        <f>B8-G8</f>
        <v>3659111</v>
      </c>
    </row>
    <row r="9" spans="1:15" ht="15.75">
      <c r="A9" s="969" t="s">
        <v>393</v>
      </c>
      <c r="B9" s="971">
        <v>1332631</v>
      </c>
      <c r="C9" s="971">
        <v>0</v>
      </c>
      <c r="D9" s="971">
        <v>0</v>
      </c>
      <c r="E9" s="971">
        <v>0</v>
      </c>
      <c r="F9" s="971">
        <v>1332631</v>
      </c>
      <c r="G9" s="971">
        <v>0</v>
      </c>
      <c r="H9" s="971">
        <v>0</v>
      </c>
      <c r="I9" s="971">
        <v>0</v>
      </c>
      <c r="J9" s="971">
        <v>0</v>
      </c>
      <c r="K9" s="971">
        <v>0</v>
      </c>
      <c r="L9" s="971">
        <v>0</v>
      </c>
      <c r="M9" s="972">
        <f t="shared" si="0"/>
        <v>1332631</v>
      </c>
      <c r="N9" s="972">
        <f t="shared" ref="N9:N32" si="1">B9-G9</f>
        <v>1332631</v>
      </c>
    </row>
    <row r="10" spans="1:15" ht="15.75">
      <c r="A10" s="969" t="s">
        <v>911</v>
      </c>
      <c r="B10" s="971"/>
      <c r="C10" s="971"/>
      <c r="D10" s="971"/>
      <c r="E10" s="971"/>
      <c r="F10" s="971"/>
      <c r="G10" s="971"/>
      <c r="H10" s="971"/>
      <c r="I10" s="971"/>
      <c r="J10" s="971"/>
      <c r="K10" s="971"/>
      <c r="L10" s="971"/>
      <c r="M10" s="972">
        <f t="shared" si="0"/>
        <v>0</v>
      </c>
      <c r="N10" s="972">
        <f t="shared" si="1"/>
        <v>0</v>
      </c>
    </row>
    <row r="11" spans="1:15" ht="15.75">
      <c r="A11" s="969" t="s">
        <v>392</v>
      </c>
      <c r="B11" s="971">
        <v>39596457</v>
      </c>
      <c r="C11" s="971">
        <v>0</v>
      </c>
      <c r="D11" s="971">
        <v>0</v>
      </c>
      <c r="E11" s="971">
        <v>0</v>
      </c>
      <c r="F11" s="971">
        <v>39596457</v>
      </c>
      <c r="G11" s="971">
        <v>12126157</v>
      </c>
      <c r="H11" s="971">
        <v>502694</v>
      </c>
      <c r="I11" s="971">
        <v>0</v>
      </c>
      <c r="J11" s="971">
        <v>12628851</v>
      </c>
      <c r="K11" s="971">
        <v>0</v>
      </c>
      <c r="L11" s="971">
        <v>12628851</v>
      </c>
      <c r="M11" s="972">
        <f t="shared" si="0"/>
        <v>26967606</v>
      </c>
      <c r="N11" s="972">
        <f t="shared" si="1"/>
        <v>27470300</v>
      </c>
    </row>
    <row r="12" spans="1:15" ht="15.75">
      <c r="A12" s="969" t="s">
        <v>393</v>
      </c>
      <c r="B12" s="971">
        <v>2670348</v>
      </c>
      <c r="C12" s="971">
        <v>0</v>
      </c>
      <c r="D12" s="971">
        <v>0</v>
      </c>
      <c r="E12" s="971">
        <v>0</v>
      </c>
      <c r="F12" s="971">
        <v>2670348</v>
      </c>
      <c r="G12" s="971">
        <v>1116383</v>
      </c>
      <c r="H12" s="971">
        <v>25304</v>
      </c>
      <c r="I12" s="971">
        <v>0</v>
      </c>
      <c r="J12" s="971">
        <v>1141687</v>
      </c>
      <c r="K12" s="971">
        <v>0</v>
      </c>
      <c r="L12" s="971">
        <v>1141687</v>
      </c>
      <c r="M12" s="972">
        <f t="shared" si="0"/>
        <v>1528661</v>
      </c>
      <c r="N12" s="972">
        <f t="shared" si="1"/>
        <v>1553965</v>
      </c>
    </row>
    <row r="13" spans="1:15" ht="15.75">
      <c r="A13" s="969" t="s">
        <v>912</v>
      </c>
      <c r="B13" s="971"/>
      <c r="C13" s="971"/>
      <c r="D13" s="971"/>
      <c r="E13" s="971"/>
      <c r="F13" s="971"/>
      <c r="G13" s="971"/>
      <c r="H13" s="971"/>
      <c r="I13" s="971"/>
      <c r="J13" s="971"/>
      <c r="K13" s="971"/>
      <c r="L13" s="971"/>
      <c r="M13" s="972">
        <f t="shared" si="0"/>
        <v>0</v>
      </c>
      <c r="N13" s="972">
        <f t="shared" si="1"/>
        <v>0</v>
      </c>
    </row>
    <row r="14" spans="1:15" ht="15.75">
      <c r="A14" s="969" t="s">
        <v>394</v>
      </c>
      <c r="B14" s="971">
        <v>127604051</v>
      </c>
      <c r="C14" s="971">
        <v>0</v>
      </c>
      <c r="D14" s="971">
        <v>0</v>
      </c>
      <c r="E14" s="971">
        <v>0</v>
      </c>
      <c r="F14" s="971">
        <v>127604051</v>
      </c>
      <c r="G14" s="971">
        <v>59214126</v>
      </c>
      <c r="H14" s="971">
        <v>1520797</v>
      </c>
      <c r="I14" s="971">
        <v>0</v>
      </c>
      <c r="J14" s="971">
        <v>60734923</v>
      </c>
      <c r="K14" s="971">
        <v>0</v>
      </c>
      <c r="L14" s="971">
        <v>60734923</v>
      </c>
      <c r="M14" s="972">
        <f t="shared" si="0"/>
        <v>66869128</v>
      </c>
      <c r="N14" s="972">
        <f t="shared" si="1"/>
        <v>68389925</v>
      </c>
    </row>
    <row r="15" spans="1:15" ht="15.75">
      <c r="A15" s="969" t="s">
        <v>396</v>
      </c>
      <c r="B15" s="971">
        <v>65718669</v>
      </c>
      <c r="C15" s="971">
        <v>185743</v>
      </c>
      <c r="D15" s="971">
        <v>0</v>
      </c>
      <c r="E15" s="971">
        <v>0</v>
      </c>
      <c r="F15" s="971">
        <v>65904412</v>
      </c>
      <c r="G15" s="971">
        <v>53092819</v>
      </c>
      <c r="H15" s="971">
        <v>507578</v>
      </c>
      <c r="I15" s="971">
        <v>0</v>
      </c>
      <c r="J15" s="971">
        <v>53600397</v>
      </c>
      <c r="K15" s="971">
        <v>0</v>
      </c>
      <c r="L15" s="971">
        <v>53600397</v>
      </c>
      <c r="M15" s="972">
        <f t="shared" si="0"/>
        <v>12304015</v>
      </c>
      <c r="N15" s="972">
        <f t="shared" si="1"/>
        <v>12625850</v>
      </c>
    </row>
    <row r="16" spans="1:15" ht="15.75">
      <c r="A16" s="969" t="s">
        <v>397</v>
      </c>
      <c r="B16" s="971">
        <v>9484462</v>
      </c>
      <c r="C16" s="971">
        <v>0</v>
      </c>
      <c r="D16" s="971">
        <v>0</v>
      </c>
      <c r="E16" s="971">
        <v>0</v>
      </c>
      <c r="F16" s="971">
        <v>9484462</v>
      </c>
      <c r="G16" s="971">
        <v>9398809</v>
      </c>
      <c r="H16" s="971">
        <v>85639</v>
      </c>
      <c r="I16" s="971">
        <v>0</v>
      </c>
      <c r="J16" s="971">
        <v>9484448</v>
      </c>
      <c r="K16" s="971">
        <v>0</v>
      </c>
      <c r="L16" s="971">
        <v>9484448</v>
      </c>
      <c r="M16" s="972">
        <f t="shared" si="0"/>
        <v>14</v>
      </c>
      <c r="N16" s="972">
        <f t="shared" si="1"/>
        <v>85653</v>
      </c>
    </row>
    <row r="17" spans="1:15" ht="15.75">
      <c r="A17" s="969" t="s">
        <v>398</v>
      </c>
      <c r="B17" s="971">
        <v>18255462</v>
      </c>
      <c r="C17" s="971">
        <v>199060</v>
      </c>
      <c r="D17" s="971">
        <v>0</v>
      </c>
      <c r="E17" s="971">
        <v>32150</v>
      </c>
      <c r="F17" s="971">
        <v>18422372</v>
      </c>
      <c r="G17" s="971">
        <v>16411123</v>
      </c>
      <c r="H17" s="971">
        <v>342944</v>
      </c>
      <c r="I17" s="971">
        <v>0</v>
      </c>
      <c r="J17" s="971">
        <v>16754067</v>
      </c>
      <c r="K17" s="971">
        <v>32147</v>
      </c>
      <c r="L17" s="971">
        <v>16721920</v>
      </c>
      <c r="M17" s="972">
        <f t="shared" si="0"/>
        <v>1700452</v>
      </c>
      <c r="N17" s="972">
        <f t="shared" si="1"/>
        <v>1844339</v>
      </c>
    </row>
    <row r="18" spans="1:15" ht="15.75">
      <c r="A18" s="969" t="s">
        <v>399</v>
      </c>
      <c r="B18" s="971">
        <v>3579962</v>
      </c>
      <c r="C18" s="971">
        <v>0</v>
      </c>
      <c r="D18" s="971">
        <v>0</v>
      </c>
      <c r="E18" s="971">
        <v>0</v>
      </c>
      <c r="F18" s="971">
        <v>3579962</v>
      </c>
      <c r="G18" s="971">
        <v>3209239</v>
      </c>
      <c r="H18" s="971">
        <v>138179</v>
      </c>
      <c r="I18" s="971">
        <v>0</v>
      </c>
      <c r="J18" s="971">
        <v>3347418</v>
      </c>
      <c r="K18" s="971">
        <v>0</v>
      </c>
      <c r="L18" s="971">
        <v>3347418</v>
      </c>
      <c r="M18" s="972">
        <f t="shared" si="0"/>
        <v>232544</v>
      </c>
      <c r="N18" s="972">
        <f t="shared" si="1"/>
        <v>370723</v>
      </c>
    </row>
    <row r="19" spans="1:15" ht="15.75">
      <c r="A19" s="969" t="s">
        <v>400</v>
      </c>
      <c r="B19" s="971">
        <v>12237919</v>
      </c>
      <c r="C19" s="971">
        <v>446193</v>
      </c>
      <c r="D19" s="971">
        <v>-59233</v>
      </c>
      <c r="E19" s="971">
        <v>80542</v>
      </c>
      <c r="F19" s="971">
        <v>12544337</v>
      </c>
      <c r="G19" s="971">
        <v>11995935</v>
      </c>
      <c r="H19" s="971">
        <v>155288</v>
      </c>
      <c r="I19" s="971">
        <v>0</v>
      </c>
      <c r="J19" s="971">
        <v>12151223</v>
      </c>
      <c r="K19" s="971">
        <v>150126</v>
      </c>
      <c r="L19" s="971">
        <v>12001097</v>
      </c>
      <c r="M19" s="972">
        <f t="shared" si="0"/>
        <v>543240</v>
      </c>
      <c r="N19" s="972">
        <f t="shared" si="1"/>
        <v>241984</v>
      </c>
    </row>
    <row r="20" spans="1:15" ht="15.75">
      <c r="A20" s="969" t="s">
        <v>913</v>
      </c>
      <c r="B20" s="971">
        <v>796244522</v>
      </c>
      <c r="C20" s="971">
        <v>660020</v>
      </c>
      <c r="D20" s="971">
        <v>0</v>
      </c>
      <c r="E20" s="971">
        <v>1915893</v>
      </c>
      <c r="F20" s="971">
        <v>794988649</v>
      </c>
      <c r="G20" s="971">
        <v>332080802</v>
      </c>
      <c r="H20" s="971">
        <v>33576635</v>
      </c>
      <c r="I20" s="971">
        <v>0</v>
      </c>
      <c r="J20" s="971">
        <v>365657437</v>
      </c>
      <c r="K20" s="971">
        <v>1915883</v>
      </c>
      <c r="L20" s="971">
        <v>363741554</v>
      </c>
      <c r="M20" s="972">
        <f t="shared" si="0"/>
        <v>431247095</v>
      </c>
      <c r="N20" s="972">
        <f t="shared" si="1"/>
        <v>464163720</v>
      </c>
    </row>
    <row r="21" spans="1:15" ht="15.75">
      <c r="A21" s="969" t="s">
        <v>914</v>
      </c>
      <c r="B21" s="971"/>
      <c r="C21" s="971"/>
      <c r="D21" s="971"/>
      <c r="E21" s="971">
        <v>0</v>
      </c>
      <c r="F21" s="971">
        <v>0</v>
      </c>
      <c r="G21" s="971"/>
      <c r="H21" s="971"/>
      <c r="I21" s="971"/>
      <c r="J21" s="971">
        <v>0</v>
      </c>
      <c r="K21" s="971"/>
      <c r="L21" s="971"/>
      <c r="M21" s="972">
        <f t="shared" si="0"/>
        <v>0</v>
      </c>
      <c r="N21" s="972">
        <f t="shared" si="1"/>
        <v>0</v>
      </c>
    </row>
    <row r="22" spans="1:15" ht="15.75">
      <c r="A22" s="969" t="s">
        <v>401</v>
      </c>
      <c r="B22" s="971">
        <v>23414961</v>
      </c>
      <c r="C22" s="971">
        <v>212668</v>
      </c>
      <c r="D22" s="971">
        <v>1167741</v>
      </c>
      <c r="E22" s="971">
        <v>36195</v>
      </c>
      <c r="F22" s="971">
        <v>24759175</v>
      </c>
      <c r="G22" s="971">
        <v>22955915</v>
      </c>
      <c r="H22" s="971">
        <v>11175</v>
      </c>
      <c r="I22" s="971">
        <v>0</v>
      </c>
      <c r="J22" s="971">
        <v>22967090</v>
      </c>
      <c r="K22" s="971">
        <v>-1131538</v>
      </c>
      <c r="L22" s="971">
        <v>24098628</v>
      </c>
      <c r="M22" s="972">
        <f t="shared" si="0"/>
        <v>660547</v>
      </c>
      <c r="N22" s="972">
        <f t="shared" si="1"/>
        <v>459046</v>
      </c>
    </row>
    <row r="23" spans="1:15" ht="15.75">
      <c r="A23" s="969" t="s">
        <v>402</v>
      </c>
      <c r="B23" s="971">
        <v>50539356</v>
      </c>
      <c r="C23" s="971">
        <v>941271</v>
      </c>
      <c r="D23" s="971">
        <v>-2160563</v>
      </c>
      <c r="E23" s="971">
        <v>151383</v>
      </c>
      <c r="F23" s="971">
        <v>49168681</v>
      </c>
      <c r="G23" s="971">
        <v>48001777</v>
      </c>
      <c r="H23" s="971">
        <v>850128</v>
      </c>
      <c r="I23" s="971">
        <v>0</v>
      </c>
      <c r="J23" s="971">
        <v>48851905</v>
      </c>
      <c r="K23" s="971">
        <v>2296361</v>
      </c>
      <c r="L23" s="971">
        <v>46555544</v>
      </c>
      <c r="M23" s="972">
        <f t="shared" si="0"/>
        <v>2613137</v>
      </c>
      <c r="N23" s="972">
        <f t="shared" si="1"/>
        <v>2537579</v>
      </c>
    </row>
    <row r="24" spans="1:15" ht="15.75">
      <c r="A24" s="969" t="s">
        <v>915</v>
      </c>
      <c r="B24" s="971">
        <v>21576938</v>
      </c>
      <c r="C24" s="971">
        <v>0</v>
      </c>
      <c r="D24" s="971">
        <v>0</v>
      </c>
      <c r="E24" s="971">
        <v>551683</v>
      </c>
      <c r="F24" s="971">
        <v>21025255</v>
      </c>
      <c r="G24" s="971">
        <v>20472182</v>
      </c>
      <c r="H24" s="971">
        <v>240044</v>
      </c>
      <c r="I24" s="971">
        <v>0</v>
      </c>
      <c r="J24" s="971">
        <v>20712226</v>
      </c>
      <c r="K24" s="971">
        <v>551682</v>
      </c>
      <c r="L24" s="971">
        <v>20160544</v>
      </c>
      <c r="M24" s="972">
        <f t="shared" si="0"/>
        <v>864711</v>
      </c>
      <c r="N24" s="972">
        <f t="shared" si="1"/>
        <v>1104756</v>
      </c>
    </row>
    <row r="25" spans="1:15" ht="15.75">
      <c r="A25" s="969" t="s">
        <v>916</v>
      </c>
      <c r="B25" s="971">
        <v>57476886</v>
      </c>
      <c r="C25" s="971">
        <v>2122560</v>
      </c>
      <c r="D25" s="971">
        <v>1075050</v>
      </c>
      <c r="E25" s="971">
        <v>1130830</v>
      </c>
      <c r="F25" s="971">
        <v>59543666</v>
      </c>
      <c r="G25" s="971">
        <v>48028674</v>
      </c>
      <c r="H25" s="971">
        <v>5290465</v>
      </c>
      <c r="I25" s="971">
        <v>0</v>
      </c>
      <c r="J25" s="971">
        <v>53319139</v>
      </c>
      <c r="K25" s="971">
        <v>12419</v>
      </c>
      <c r="L25" s="971">
        <v>53306720</v>
      </c>
      <c r="M25" s="972">
        <f t="shared" si="0"/>
        <v>6236946</v>
      </c>
      <c r="N25" s="972">
        <f t="shared" si="1"/>
        <v>9448212</v>
      </c>
    </row>
    <row r="26" spans="1:15" ht="15.75">
      <c r="A26" s="969" t="s">
        <v>917</v>
      </c>
      <c r="B26" s="971">
        <v>0</v>
      </c>
      <c r="C26" s="971"/>
      <c r="D26" s="971"/>
      <c r="E26" s="971">
        <v>0</v>
      </c>
      <c r="F26" s="971">
        <v>0</v>
      </c>
      <c r="G26" s="971">
        <v>0</v>
      </c>
      <c r="H26" s="971">
        <v>0</v>
      </c>
      <c r="I26" s="971"/>
      <c r="J26" s="971">
        <v>0</v>
      </c>
      <c r="K26" s="971"/>
      <c r="L26" s="971"/>
      <c r="M26" s="972">
        <f t="shared" si="0"/>
        <v>0</v>
      </c>
      <c r="N26" s="972">
        <f t="shared" si="1"/>
        <v>0</v>
      </c>
    </row>
    <row r="27" spans="1:15" ht="63">
      <c r="A27" s="969" t="s">
        <v>918</v>
      </c>
      <c r="B27" s="971">
        <v>553643160</v>
      </c>
      <c r="C27" s="971">
        <v>0</v>
      </c>
      <c r="D27" s="971">
        <v>0</v>
      </c>
      <c r="E27" s="971">
        <v>0</v>
      </c>
      <c r="F27" s="971">
        <v>553643160</v>
      </c>
      <c r="G27" s="971">
        <v>421687310</v>
      </c>
      <c r="H27" s="971">
        <v>25086864</v>
      </c>
      <c r="I27" s="971">
        <v>106868921</v>
      </c>
      <c r="J27" s="971">
        <v>553643095</v>
      </c>
      <c r="K27" s="971">
        <v>0</v>
      </c>
      <c r="L27" s="971">
        <v>553643095</v>
      </c>
      <c r="M27" s="972">
        <f t="shared" si="0"/>
        <v>65</v>
      </c>
      <c r="N27" s="972">
        <f t="shared" si="1"/>
        <v>131955850</v>
      </c>
      <c r="O27" s="982" t="s">
        <v>1321</v>
      </c>
    </row>
    <row r="28" spans="1:15" ht="15.75">
      <c r="A28" s="969" t="s">
        <v>411</v>
      </c>
      <c r="B28" s="971">
        <v>26170572</v>
      </c>
      <c r="C28" s="971">
        <v>0</v>
      </c>
      <c r="D28" s="971">
        <v>0</v>
      </c>
      <c r="E28" s="971">
        <v>0</v>
      </c>
      <c r="F28" s="971">
        <v>26170572</v>
      </c>
      <c r="G28" s="971">
        <v>26170571</v>
      </c>
      <c r="H28" s="971">
        <v>0</v>
      </c>
      <c r="I28" s="971">
        <v>0</v>
      </c>
      <c r="J28" s="971">
        <v>26170571</v>
      </c>
      <c r="K28" s="971">
        <v>0</v>
      </c>
      <c r="L28" s="971">
        <v>26170571</v>
      </c>
      <c r="M28" s="972">
        <f t="shared" si="0"/>
        <v>1</v>
      </c>
      <c r="N28" s="972">
        <f t="shared" si="1"/>
        <v>1</v>
      </c>
    </row>
    <row r="29" spans="1:15" ht="63">
      <c r="A29" s="969" t="s">
        <v>919</v>
      </c>
      <c r="B29" s="971">
        <v>34112382</v>
      </c>
      <c r="C29" s="971">
        <v>0</v>
      </c>
      <c r="D29" s="971">
        <v>0</v>
      </c>
      <c r="E29" s="971">
        <v>0</v>
      </c>
      <c r="F29" s="971">
        <v>34112382</v>
      </c>
      <c r="G29" s="971">
        <v>19405114</v>
      </c>
      <c r="H29" s="971">
        <v>2135988</v>
      </c>
      <c r="I29" s="971">
        <v>0</v>
      </c>
      <c r="J29" s="971">
        <v>21541102</v>
      </c>
      <c r="K29" s="971">
        <v>0</v>
      </c>
      <c r="L29" s="971">
        <v>21541102</v>
      </c>
      <c r="M29" s="972">
        <f t="shared" si="0"/>
        <v>12571280</v>
      </c>
      <c r="N29" s="972">
        <f t="shared" si="1"/>
        <v>14707268</v>
      </c>
      <c r="O29" s="982" t="s">
        <v>1320</v>
      </c>
    </row>
    <row r="30" spans="1:15" ht="15.75">
      <c r="A30" s="969" t="s">
        <v>403</v>
      </c>
      <c r="B30" s="971">
        <v>178017283</v>
      </c>
      <c r="C30" s="971">
        <v>4648516</v>
      </c>
      <c r="D30" s="971">
        <v>-22995</v>
      </c>
      <c r="E30" s="971">
        <v>1017479</v>
      </c>
      <c r="F30" s="971">
        <v>181625325</v>
      </c>
      <c r="G30" s="971">
        <v>169479196</v>
      </c>
      <c r="H30" s="971">
        <v>5727810</v>
      </c>
      <c r="I30" s="971">
        <v>0</v>
      </c>
      <c r="J30" s="971">
        <v>175207006</v>
      </c>
      <c r="K30" s="971">
        <v>1017456</v>
      </c>
      <c r="L30" s="971">
        <v>174189550</v>
      </c>
      <c r="M30" s="972">
        <f t="shared" si="0"/>
        <v>7435775</v>
      </c>
      <c r="N30" s="972">
        <f t="shared" si="1"/>
        <v>8538087</v>
      </c>
    </row>
    <row r="31" spans="1:15" ht="15.75">
      <c r="A31" s="969"/>
      <c r="B31" s="971"/>
      <c r="C31" s="971"/>
      <c r="D31" s="971"/>
      <c r="E31" s="971"/>
      <c r="F31" s="971"/>
      <c r="G31" s="971"/>
      <c r="H31" s="971"/>
      <c r="I31" s="971"/>
      <c r="J31" s="971"/>
      <c r="K31" s="971"/>
      <c r="L31" s="971"/>
      <c r="M31" s="972">
        <f t="shared" si="0"/>
        <v>0</v>
      </c>
      <c r="N31" s="972">
        <f t="shared" si="1"/>
        <v>0</v>
      </c>
    </row>
    <row r="32" spans="1:15" s="881" customFormat="1" ht="15.75">
      <c r="A32" s="974" t="s">
        <v>806</v>
      </c>
      <c r="B32" s="975">
        <v>2025335132</v>
      </c>
      <c r="C32" s="975">
        <v>9416031</v>
      </c>
      <c r="D32" s="975">
        <v>0</v>
      </c>
      <c r="E32" s="975">
        <v>4916155</v>
      </c>
      <c r="F32" s="975">
        <v>2029835008</v>
      </c>
      <c r="G32" s="975">
        <v>1274846132</v>
      </c>
      <c r="H32" s="975">
        <v>76197532</v>
      </c>
      <c r="I32" s="975">
        <v>106868921</v>
      </c>
      <c r="J32" s="975">
        <v>1457912585</v>
      </c>
      <c r="K32" s="975">
        <v>4844536</v>
      </c>
      <c r="L32" s="975">
        <v>1453068049</v>
      </c>
      <c r="M32" s="977">
        <f t="shared" si="0"/>
        <v>576766959</v>
      </c>
      <c r="N32" s="977">
        <f t="shared" si="1"/>
        <v>750489000</v>
      </c>
    </row>
    <row r="33" spans="1:15" s="881" customFormat="1" ht="15.75">
      <c r="A33" s="974" t="s">
        <v>909</v>
      </c>
      <c r="B33" s="975">
        <f>B35*1000000</f>
        <v>2022790000</v>
      </c>
      <c r="C33" s="975">
        <f>C35*1000000</f>
        <v>15640000</v>
      </c>
      <c r="D33" s="975"/>
      <c r="E33" s="975">
        <f>E35*1000000</f>
        <v>13100000</v>
      </c>
      <c r="F33" s="975">
        <f>B32</f>
        <v>2025335132</v>
      </c>
      <c r="G33" s="976">
        <f>G35*1000000</f>
        <v>1158050000</v>
      </c>
      <c r="H33" s="976">
        <f>H35*1000000</f>
        <v>115170000</v>
      </c>
      <c r="I33" s="976">
        <f>I35*1000000</f>
        <v>10880000</v>
      </c>
      <c r="J33" s="976">
        <f>J35*1000000</f>
        <v>1284100000</v>
      </c>
      <c r="K33" s="976">
        <f>K35*1000000</f>
        <v>9260000</v>
      </c>
      <c r="L33" s="976">
        <f>G32</f>
        <v>1274846132</v>
      </c>
      <c r="M33" s="976">
        <f>N32</f>
        <v>750489000</v>
      </c>
      <c r="N33" s="976"/>
    </row>
    <row r="35" spans="1:15" hidden="1">
      <c r="B35">
        <v>2022.79</v>
      </c>
      <c r="C35">
        <v>15.64</v>
      </c>
      <c r="E35">
        <v>13.1</v>
      </c>
      <c r="G35">
        <v>1158.05</v>
      </c>
      <c r="H35">
        <v>115.17</v>
      </c>
      <c r="I35">
        <v>10.88</v>
      </c>
      <c r="J35">
        <v>1284.0999999999999</v>
      </c>
      <c r="K35">
        <v>9.26</v>
      </c>
    </row>
    <row r="37" spans="1:15">
      <c r="B37" s="1612" t="s">
        <v>1316</v>
      </c>
      <c r="C37" s="1613"/>
      <c r="D37" s="1613"/>
      <c r="E37" s="1613"/>
      <c r="F37" s="1613"/>
      <c r="G37" s="1613"/>
      <c r="H37" s="1612" t="s">
        <v>42</v>
      </c>
      <c r="I37" s="1613"/>
      <c r="J37" s="1613"/>
      <c r="K37" s="1613"/>
      <c r="L37" s="1613"/>
      <c r="M37" s="1613"/>
      <c r="N37" s="1608" t="s">
        <v>47</v>
      </c>
      <c r="O37" s="1609"/>
    </row>
    <row r="38" spans="1:15" ht="36.75" customHeight="1">
      <c r="A38" s="881" t="s">
        <v>1200</v>
      </c>
      <c r="B38" s="647" t="s">
        <v>1306</v>
      </c>
      <c r="C38" s="647" t="s">
        <v>906</v>
      </c>
      <c r="D38" s="978" t="s">
        <v>39</v>
      </c>
      <c r="E38" s="647" t="s">
        <v>40</v>
      </c>
      <c r="F38" s="647" t="s">
        <v>907</v>
      </c>
      <c r="G38" s="647" t="s">
        <v>1225</v>
      </c>
      <c r="H38" s="647" t="s">
        <v>1311</v>
      </c>
      <c r="I38" s="978" t="s">
        <v>43</v>
      </c>
      <c r="J38" s="978" t="s">
        <v>44</v>
      </c>
      <c r="K38" s="647" t="s">
        <v>859</v>
      </c>
      <c r="L38" s="647" t="s">
        <v>923</v>
      </c>
      <c r="M38" s="647" t="s">
        <v>1309</v>
      </c>
      <c r="N38" s="970">
        <v>42094</v>
      </c>
      <c r="O38" s="966">
        <v>41729</v>
      </c>
    </row>
    <row r="39" spans="1:15">
      <c r="A39" s="647" t="s">
        <v>41</v>
      </c>
      <c r="B39" s="965">
        <v>2405002</v>
      </c>
      <c r="C39" s="965">
        <v>144486</v>
      </c>
      <c r="D39" s="965">
        <v>0</v>
      </c>
      <c r="E39" s="965">
        <v>0</v>
      </c>
      <c r="F39" s="965">
        <v>0</v>
      </c>
      <c r="G39" s="965">
        <v>2549488</v>
      </c>
      <c r="H39" s="965">
        <v>598667</v>
      </c>
      <c r="I39" s="965">
        <v>482755</v>
      </c>
      <c r="J39" s="965">
        <v>0</v>
      </c>
      <c r="K39" s="965">
        <v>1081422</v>
      </c>
      <c r="L39" s="965">
        <v>0</v>
      </c>
      <c r="M39" s="965">
        <v>1081422</v>
      </c>
      <c r="N39" s="967">
        <f>G39-M39</f>
        <v>1468066</v>
      </c>
      <c r="O39" s="967">
        <f>B39-H39</f>
        <v>1806335</v>
      </c>
    </row>
    <row r="40" spans="1:15">
      <c r="A40" s="647" t="s">
        <v>879</v>
      </c>
      <c r="B40" s="965">
        <v>0</v>
      </c>
      <c r="C40" s="965">
        <v>0</v>
      </c>
      <c r="D40" s="965">
        <v>0</v>
      </c>
      <c r="E40" s="965">
        <v>0</v>
      </c>
      <c r="F40" s="965">
        <v>0</v>
      </c>
      <c r="G40" s="965">
        <v>0</v>
      </c>
      <c r="H40" s="965">
        <v>0</v>
      </c>
      <c r="I40" s="965">
        <v>0</v>
      </c>
      <c r="J40" s="965">
        <v>0</v>
      </c>
      <c r="K40" s="965">
        <v>0</v>
      </c>
      <c r="L40" s="965">
        <v>0</v>
      </c>
      <c r="M40" s="965">
        <v>0</v>
      </c>
      <c r="N40" s="647"/>
      <c r="O40" s="647"/>
    </row>
    <row r="41" spans="1:15">
      <c r="A41" s="647" t="s">
        <v>806</v>
      </c>
      <c r="B41" s="965">
        <v>2405002</v>
      </c>
      <c r="C41" s="965">
        <v>144486</v>
      </c>
      <c r="D41" s="965">
        <v>0</v>
      </c>
      <c r="E41" s="965">
        <v>0</v>
      </c>
      <c r="F41" s="965">
        <v>0</v>
      </c>
      <c r="G41" s="965">
        <v>2549488</v>
      </c>
      <c r="H41" s="965">
        <v>598667</v>
      </c>
      <c r="I41" s="965">
        <v>482755</v>
      </c>
      <c r="J41" s="965">
        <v>0</v>
      </c>
      <c r="K41" s="965">
        <v>1081422</v>
      </c>
      <c r="L41" s="965">
        <v>0</v>
      </c>
      <c r="M41" s="965">
        <v>1081422</v>
      </c>
      <c r="N41" s="967">
        <f>N39</f>
        <v>1468066</v>
      </c>
      <c r="O41" s="967">
        <f>O39</f>
        <v>1806335</v>
      </c>
    </row>
    <row r="42" spans="1:15">
      <c r="A42" s="647" t="s">
        <v>909</v>
      </c>
      <c r="B42" s="965">
        <f>B44*1000000</f>
        <v>2049999.9999999998</v>
      </c>
      <c r="C42" s="965">
        <f>C44*1000000</f>
        <v>540000</v>
      </c>
      <c r="D42" s="965"/>
      <c r="E42" s="965">
        <f>E44*1000000</f>
        <v>190000</v>
      </c>
      <c r="F42" s="965"/>
      <c r="G42" s="965">
        <f>B41</f>
        <v>2405002</v>
      </c>
      <c r="H42" s="965">
        <f>H44*1000000</f>
        <v>410000</v>
      </c>
      <c r="I42" s="965">
        <f>I44*1000000</f>
        <v>380000</v>
      </c>
      <c r="J42" s="965"/>
      <c r="K42" s="965">
        <f>K44*1000000</f>
        <v>790000</v>
      </c>
      <c r="L42" s="965">
        <f>L44*1000000</f>
        <v>190000</v>
      </c>
      <c r="M42" s="965">
        <f>H41</f>
        <v>598667</v>
      </c>
      <c r="N42" s="967">
        <f>O41</f>
        <v>1806335</v>
      </c>
      <c r="O42" s="647"/>
    </row>
    <row r="44" spans="1:15">
      <c r="B44" s="979">
        <v>2.0499999999999998</v>
      </c>
      <c r="C44" s="979">
        <v>0.54</v>
      </c>
      <c r="E44" s="979">
        <v>0.19</v>
      </c>
      <c r="H44" s="979">
        <v>0.41</v>
      </c>
      <c r="I44" s="979">
        <v>0.38</v>
      </c>
      <c r="K44" s="979">
        <v>0.79</v>
      </c>
      <c r="L44" s="979">
        <v>0.19</v>
      </c>
    </row>
    <row r="46" spans="1:15" ht="15.75">
      <c r="A46" s="883"/>
      <c r="B46" s="883"/>
      <c r="C46" s="883"/>
      <c r="D46" s="883"/>
      <c r="E46" s="883"/>
      <c r="F46" s="883"/>
      <c r="G46" s="883"/>
    </row>
    <row r="47" spans="1:15" ht="15.75">
      <c r="A47" s="883"/>
      <c r="B47" s="883"/>
      <c r="C47" s="883"/>
      <c r="D47" s="883"/>
      <c r="E47" s="883"/>
      <c r="F47" s="883"/>
      <c r="G47" s="883"/>
    </row>
    <row r="48" spans="1:15" ht="15.75">
      <c r="A48" s="883"/>
      <c r="B48" s="1607" t="s">
        <v>1316</v>
      </c>
      <c r="C48" s="1607"/>
      <c r="D48" s="1607"/>
      <c r="E48" s="1607"/>
      <c r="F48" s="1607"/>
      <c r="G48" s="1606" t="s">
        <v>1315</v>
      </c>
      <c r="H48" s="1606"/>
      <c r="I48" s="1606"/>
      <c r="J48" s="1606"/>
      <c r="K48" s="1606"/>
      <c r="L48" s="1606"/>
      <c r="M48" s="1610" t="s">
        <v>47</v>
      </c>
      <c r="N48" s="1611"/>
    </row>
    <row r="49" spans="1:14" ht="39">
      <c r="A49" s="969" t="s">
        <v>1317</v>
      </c>
      <c r="B49" s="969" t="s">
        <v>1306</v>
      </c>
      <c r="C49" s="969" t="s">
        <v>906</v>
      </c>
      <c r="D49" s="969" t="s">
        <v>908</v>
      </c>
      <c r="E49" s="969" t="s">
        <v>907</v>
      </c>
      <c r="F49" s="969" t="s">
        <v>1225</v>
      </c>
      <c r="G49" s="978" t="s">
        <v>1308</v>
      </c>
      <c r="H49" s="978" t="s">
        <v>921</v>
      </c>
      <c r="I49" s="978" t="s">
        <v>922</v>
      </c>
      <c r="J49" s="647" t="s">
        <v>859</v>
      </c>
      <c r="K49" s="647" t="s">
        <v>923</v>
      </c>
      <c r="L49" s="647" t="s">
        <v>1309</v>
      </c>
      <c r="M49" s="980">
        <v>42094</v>
      </c>
      <c r="N49" s="980">
        <v>41729</v>
      </c>
    </row>
    <row r="50" spans="1:14" ht="15.75">
      <c r="A50" s="969" t="s">
        <v>912</v>
      </c>
      <c r="B50" s="969"/>
      <c r="C50" s="969"/>
      <c r="D50" s="969"/>
      <c r="E50" s="969"/>
      <c r="F50" s="969"/>
      <c r="G50" s="647"/>
      <c r="H50" s="647"/>
      <c r="I50" s="647"/>
      <c r="J50" s="647"/>
      <c r="K50" s="647"/>
      <c r="L50" s="647"/>
      <c r="M50" s="647"/>
      <c r="N50" s="647"/>
    </row>
    <row r="51" spans="1:14" ht="15.75">
      <c r="A51" s="969" t="s">
        <v>412</v>
      </c>
      <c r="B51" s="969">
        <v>6709384</v>
      </c>
      <c r="C51" s="969">
        <v>0</v>
      </c>
      <c r="D51" s="969">
        <v>0</v>
      </c>
      <c r="E51" s="969">
        <v>0</v>
      </c>
      <c r="F51" s="969">
        <v>6709384</v>
      </c>
      <c r="G51" s="647">
        <v>6709384</v>
      </c>
      <c r="H51" s="647">
        <v>0</v>
      </c>
      <c r="I51" s="647">
        <v>0</v>
      </c>
      <c r="J51" s="647">
        <v>6709384</v>
      </c>
      <c r="K51" s="647">
        <v>0</v>
      </c>
      <c r="L51" s="647">
        <v>6709384</v>
      </c>
      <c r="M51" s="647">
        <f>F51-L51</f>
        <v>0</v>
      </c>
      <c r="N51" s="647">
        <f t="shared" ref="N51:N56" si="2">B51-G51</f>
        <v>0</v>
      </c>
    </row>
    <row r="52" spans="1:14" ht="15.75">
      <c r="A52" s="969" t="s">
        <v>398</v>
      </c>
      <c r="B52" s="969">
        <v>6701477</v>
      </c>
      <c r="C52" s="969">
        <v>0</v>
      </c>
      <c r="D52" s="969">
        <v>0</v>
      </c>
      <c r="E52" s="969">
        <v>0</v>
      </c>
      <c r="F52" s="969">
        <v>6701477</v>
      </c>
      <c r="G52" s="647">
        <v>6701477</v>
      </c>
      <c r="H52" s="647">
        <v>0</v>
      </c>
      <c r="I52" s="647">
        <v>0</v>
      </c>
      <c r="J52" s="647">
        <v>6701477</v>
      </c>
      <c r="K52" s="647">
        <v>0</v>
      </c>
      <c r="L52" s="647">
        <v>6701477</v>
      </c>
      <c r="M52" s="647">
        <f t="shared" ref="M52:M56" si="3">F52-L52</f>
        <v>0</v>
      </c>
      <c r="N52" s="647">
        <f t="shared" si="2"/>
        <v>0</v>
      </c>
    </row>
    <row r="53" spans="1:14" ht="15.75">
      <c r="A53" s="969" t="s">
        <v>399</v>
      </c>
      <c r="B53" s="969">
        <v>474499</v>
      </c>
      <c r="C53" s="969">
        <v>0</v>
      </c>
      <c r="D53" s="969">
        <v>0</v>
      </c>
      <c r="E53" s="969">
        <v>0</v>
      </c>
      <c r="F53" s="969">
        <v>474499</v>
      </c>
      <c r="G53" s="647">
        <v>474499</v>
      </c>
      <c r="H53" s="647">
        <v>0</v>
      </c>
      <c r="I53" s="647">
        <v>0</v>
      </c>
      <c r="J53" s="647">
        <v>474499</v>
      </c>
      <c r="K53" s="647">
        <v>0</v>
      </c>
      <c r="L53" s="647">
        <v>474499</v>
      </c>
      <c r="M53" s="647">
        <f t="shared" si="3"/>
        <v>0</v>
      </c>
      <c r="N53" s="647">
        <f t="shared" si="2"/>
        <v>0</v>
      </c>
    </row>
    <row r="54" spans="1:14" ht="15.75">
      <c r="A54" s="969" t="s">
        <v>1312</v>
      </c>
      <c r="B54" s="969">
        <v>0</v>
      </c>
      <c r="C54" s="969">
        <v>49045</v>
      </c>
      <c r="D54" s="969">
        <v>0</v>
      </c>
      <c r="E54" s="969">
        <v>0</v>
      </c>
      <c r="F54" s="969">
        <v>49045</v>
      </c>
      <c r="G54" s="647">
        <v>0</v>
      </c>
      <c r="H54" s="647">
        <v>0</v>
      </c>
      <c r="I54" s="647">
        <v>0</v>
      </c>
      <c r="J54" s="647">
        <v>0</v>
      </c>
      <c r="K54" s="647">
        <v>0</v>
      </c>
      <c r="L54" s="647">
        <v>0</v>
      </c>
      <c r="M54" s="647">
        <f t="shared" si="3"/>
        <v>49045</v>
      </c>
      <c r="N54" s="647">
        <f t="shared" si="2"/>
        <v>0</v>
      </c>
    </row>
    <row r="55" spans="1:14" ht="15.75">
      <c r="A55" s="969" t="s">
        <v>913</v>
      </c>
      <c r="B55" s="969">
        <v>13803388</v>
      </c>
      <c r="C55" s="969">
        <v>0</v>
      </c>
      <c r="D55" s="969">
        <v>0</v>
      </c>
      <c r="E55" s="969">
        <v>0</v>
      </c>
      <c r="F55" s="969">
        <v>13803388</v>
      </c>
      <c r="G55" s="647">
        <v>13803388</v>
      </c>
      <c r="H55" s="647">
        <v>0</v>
      </c>
      <c r="I55" s="647">
        <v>0</v>
      </c>
      <c r="J55" s="647">
        <v>13803388</v>
      </c>
      <c r="K55" s="647">
        <v>0</v>
      </c>
      <c r="L55" s="647">
        <v>13803388</v>
      </c>
      <c r="M55" s="647">
        <f t="shared" si="3"/>
        <v>0</v>
      </c>
      <c r="N55" s="647">
        <f t="shared" si="2"/>
        <v>0</v>
      </c>
    </row>
    <row r="56" spans="1:14" ht="15.75">
      <c r="A56" s="969" t="s">
        <v>1313</v>
      </c>
      <c r="B56" s="969">
        <v>65433228</v>
      </c>
      <c r="C56" s="969">
        <v>360000</v>
      </c>
      <c r="D56" s="969">
        <v>0</v>
      </c>
      <c r="E56" s="969">
        <v>65793228</v>
      </c>
      <c r="F56" s="969">
        <v>0</v>
      </c>
      <c r="G56" s="647"/>
      <c r="H56" s="647"/>
      <c r="I56" s="647"/>
      <c r="J56" s="647"/>
      <c r="K56" s="647"/>
      <c r="L56" s="647"/>
      <c r="M56" s="647">
        <f t="shared" si="3"/>
        <v>0</v>
      </c>
      <c r="N56" s="647">
        <f t="shared" si="2"/>
        <v>65433228</v>
      </c>
    </row>
    <row r="57" spans="1:14" ht="15.75">
      <c r="A57" s="969"/>
      <c r="B57" s="969"/>
      <c r="C57" s="969"/>
      <c r="D57" s="969"/>
      <c r="E57" s="969"/>
      <c r="F57" s="969"/>
      <c r="G57" s="647"/>
      <c r="H57" s="647"/>
      <c r="I57" s="647"/>
      <c r="J57" s="647"/>
      <c r="K57" s="647"/>
      <c r="L57" s="647"/>
      <c r="M57" s="647"/>
      <c r="N57" s="647"/>
    </row>
    <row r="58" spans="1:14" ht="15.75">
      <c r="A58" s="969"/>
      <c r="B58" s="969"/>
      <c r="C58" s="969"/>
      <c r="D58" s="969"/>
      <c r="E58" s="969"/>
      <c r="F58" s="969"/>
      <c r="G58" s="647"/>
      <c r="H58" s="647"/>
      <c r="I58" s="647"/>
      <c r="J58" s="647"/>
      <c r="K58" s="647"/>
      <c r="L58" s="647"/>
      <c r="M58" s="647"/>
      <c r="N58" s="647"/>
    </row>
    <row r="59" spans="1:14" ht="15.75">
      <c r="A59" s="969" t="s">
        <v>806</v>
      </c>
      <c r="B59" s="971">
        <v>93121976</v>
      </c>
      <c r="C59" s="971">
        <f>SUM(C51:C56)</f>
        <v>409045</v>
      </c>
      <c r="D59" s="971">
        <v>0</v>
      </c>
      <c r="E59" s="971">
        <f>SUM(E51:E56)</f>
        <v>65793228</v>
      </c>
      <c r="F59" s="971">
        <f>SUM(F51:F56)</f>
        <v>27737793</v>
      </c>
      <c r="G59" s="971">
        <f>SUM(G51:G56)</f>
        <v>27688748</v>
      </c>
      <c r="H59" s="965">
        <f>SUM(H51:H56)</f>
        <v>0</v>
      </c>
      <c r="I59" s="965">
        <f>SUM(I51:I55)</f>
        <v>0</v>
      </c>
      <c r="J59" s="965">
        <f>SUM(J51:J55)</f>
        <v>27688748</v>
      </c>
      <c r="K59" s="965">
        <f>SUM(K51:K55)</f>
        <v>0</v>
      </c>
      <c r="L59" s="965">
        <f>SUM(L51:L55)</f>
        <v>27688748</v>
      </c>
      <c r="M59" s="981">
        <f>SUM(M51:M56)</f>
        <v>49045</v>
      </c>
      <c r="N59" s="981">
        <f>SUM(N51:N56)</f>
        <v>65433228</v>
      </c>
    </row>
    <row r="60" spans="1:14" ht="15.75">
      <c r="A60" s="969" t="s">
        <v>909</v>
      </c>
      <c r="B60" s="971">
        <f>B61*1000000</f>
        <v>82630000</v>
      </c>
      <c r="C60" s="969"/>
      <c r="D60" s="969"/>
      <c r="E60" s="969">
        <v>0</v>
      </c>
      <c r="F60" s="971">
        <f>F61*1000000</f>
        <v>93120000</v>
      </c>
      <c r="G60" s="971">
        <f>G61*1000000</f>
        <v>27690000</v>
      </c>
      <c r="H60" s="647">
        <v>0</v>
      </c>
      <c r="I60" s="647">
        <v>0</v>
      </c>
      <c r="J60" s="965">
        <f>J61*1000000</f>
        <v>27690000</v>
      </c>
      <c r="K60" s="647">
        <v>0</v>
      </c>
      <c r="L60" s="965">
        <f>L61*1000000</f>
        <v>27690000</v>
      </c>
      <c r="M60" s="968">
        <f>N59</f>
        <v>65433228</v>
      </c>
    </row>
    <row r="61" spans="1:14">
      <c r="B61">
        <v>82.63</v>
      </c>
      <c r="C61">
        <v>10.58</v>
      </c>
      <c r="D61">
        <v>0.09</v>
      </c>
      <c r="F61">
        <v>93.12</v>
      </c>
      <c r="G61">
        <v>27.69</v>
      </c>
      <c r="J61">
        <v>27.69</v>
      </c>
      <c r="L61">
        <v>27.69</v>
      </c>
    </row>
  </sheetData>
  <mergeCells count="9">
    <mergeCell ref="G5:L5"/>
    <mergeCell ref="B5:F5"/>
    <mergeCell ref="M5:N5"/>
    <mergeCell ref="N37:O37"/>
    <mergeCell ref="M48:N48"/>
    <mergeCell ref="B37:G37"/>
    <mergeCell ref="H37:M37"/>
    <mergeCell ref="B48:F48"/>
    <mergeCell ref="G48:L48"/>
  </mergeCells>
  <pageMargins left="0.7" right="0.7" top="0.75" bottom="0.75" header="0.3" footer="0.3"/>
  <pageSetup paperSize="9" scale="28" orientation="portrait" r:id="rId1"/>
  <rowBreaks count="2" manualBreakCount="2">
    <brk id="36" max="14" man="1"/>
    <brk id="44"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3"/>
  </sheetPr>
  <dimension ref="B2:CT124"/>
  <sheetViews>
    <sheetView workbookViewId="0">
      <pane xSplit="2" ySplit="2" topLeftCell="C43" activePane="bottomRight" state="frozen"/>
      <selection pane="topRight" activeCell="C1" sqref="C1"/>
      <selection pane="bottomLeft" activeCell="A3" sqref="A3"/>
      <selection pane="bottomRight" activeCell="B102" sqref="B102:H112"/>
    </sheetView>
  </sheetViews>
  <sheetFormatPr defaultRowHeight="11.25"/>
  <cols>
    <col min="1" max="1" width="2.7109375" style="885" customWidth="1"/>
    <col min="2" max="2" width="31" style="924" customWidth="1"/>
    <col min="3" max="3" width="12.42578125" style="885" bestFit="1" customWidth="1"/>
    <col min="4" max="4" width="11.85546875" style="885" customWidth="1"/>
    <col min="5" max="5" width="13.85546875" style="885" customWidth="1"/>
    <col min="6" max="6" width="11.5703125" style="885" customWidth="1"/>
    <col min="7" max="7" width="12.5703125" style="885" customWidth="1"/>
    <col min="8" max="8" width="12" style="885" customWidth="1"/>
    <col min="9" max="14" width="9.140625" style="885"/>
    <col min="15" max="15" width="10.42578125" style="885" bestFit="1" customWidth="1"/>
    <col min="16" max="57" width="9.140625" style="885"/>
    <col min="58" max="58" width="9.140625" style="886"/>
    <col min="59" max="16384" width="9.140625" style="885"/>
  </cols>
  <sheetData>
    <row r="2" spans="2:98">
      <c r="B2" s="884" t="s">
        <v>698</v>
      </c>
    </row>
    <row r="3" spans="2:98" ht="12" thickBot="1">
      <c r="B3" s="884"/>
      <c r="G3" s="887" t="s">
        <v>699</v>
      </c>
    </row>
    <row r="4" spans="2:98" s="888" customFormat="1" ht="13.5" customHeight="1" thickBot="1">
      <c r="B4" s="884"/>
      <c r="C4" s="1614" t="s">
        <v>860</v>
      </c>
      <c r="D4" s="1615"/>
      <c r="E4" s="1615"/>
      <c r="F4" s="1615"/>
      <c r="G4" s="1615"/>
      <c r="H4" s="1616"/>
      <c r="I4" s="1617" t="s">
        <v>17</v>
      </c>
      <c r="J4" s="1618"/>
      <c r="K4" s="1618"/>
      <c r="L4" s="1618"/>
      <c r="M4" s="1618"/>
      <c r="N4" s="1619"/>
      <c r="O4" s="1614" t="s">
        <v>18</v>
      </c>
      <c r="P4" s="1615"/>
      <c r="Q4" s="1615"/>
      <c r="R4" s="1615"/>
      <c r="S4" s="1615"/>
      <c r="T4" s="1616"/>
      <c r="U4" s="1617" t="s">
        <v>19</v>
      </c>
      <c r="V4" s="1618"/>
      <c r="W4" s="1618"/>
      <c r="X4" s="1618"/>
      <c r="Y4" s="1618"/>
      <c r="Z4" s="1619"/>
      <c r="AA4" s="1614" t="s">
        <v>20</v>
      </c>
      <c r="AB4" s="1615"/>
      <c r="AC4" s="1615"/>
      <c r="AD4" s="1615"/>
      <c r="AE4" s="1615"/>
      <c r="AF4" s="1616"/>
      <c r="AG4" s="1617" t="s">
        <v>21</v>
      </c>
      <c r="AH4" s="1618"/>
      <c r="AI4" s="1618"/>
      <c r="AJ4" s="1618"/>
      <c r="AK4" s="1618"/>
      <c r="AL4" s="1619"/>
      <c r="AM4" s="1614" t="s">
        <v>22</v>
      </c>
      <c r="AN4" s="1615"/>
      <c r="AO4" s="1615"/>
      <c r="AP4" s="1615"/>
      <c r="AQ4" s="1615"/>
      <c r="AR4" s="1616"/>
      <c r="AS4" s="1617" t="s">
        <v>23</v>
      </c>
      <c r="AT4" s="1618"/>
      <c r="AU4" s="1618"/>
      <c r="AV4" s="1618"/>
      <c r="AW4" s="1618"/>
      <c r="AX4" s="1619"/>
      <c r="AY4" s="1614" t="s">
        <v>24</v>
      </c>
      <c r="AZ4" s="1615"/>
      <c r="BA4" s="1615"/>
      <c r="BB4" s="1615"/>
      <c r="BC4" s="1615"/>
      <c r="BD4" s="1616"/>
      <c r="BE4" s="1617" t="s">
        <v>25</v>
      </c>
      <c r="BF4" s="1618"/>
      <c r="BG4" s="1618"/>
      <c r="BH4" s="1618"/>
      <c r="BI4" s="1618"/>
      <c r="BJ4" s="1619"/>
      <c r="BK4" s="1614" t="s">
        <v>26</v>
      </c>
      <c r="BL4" s="1615"/>
      <c r="BM4" s="1615"/>
      <c r="BN4" s="1615"/>
      <c r="BO4" s="1615"/>
      <c r="BP4" s="1616"/>
      <c r="BQ4" s="1617" t="s">
        <v>27</v>
      </c>
      <c r="BR4" s="1618"/>
      <c r="BS4" s="1618"/>
      <c r="BT4" s="1618"/>
      <c r="BU4" s="1618"/>
      <c r="BV4" s="1619"/>
      <c r="BW4" s="1614" t="s">
        <v>28</v>
      </c>
      <c r="BX4" s="1615"/>
      <c r="BY4" s="1615"/>
      <c r="BZ4" s="1615"/>
      <c r="CA4" s="1615"/>
      <c r="CB4" s="1616"/>
      <c r="CC4" s="1617" t="s">
        <v>697</v>
      </c>
      <c r="CD4" s="1618"/>
      <c r="CE4" s="1618"/>
      <c r="CF4" s="1618"/>
      <c r="CG4" s="1618"/>
      <c r="CH4" s="1619"/>
      <c r="CI4" s="1614" t="s">
        <v>30</v>
      </c>
      <c r="CJ4" s="1615"/>
      <c r="CK4" s="1615"/>
      <c r="CL4" s="1615"/>
      <c r="CM4" s="1615"/>
      <c r="CN4" s="1616"/>
      <c r="CO4" s="1617" t="s">
        <v>31</v>
      </c>
      <c r="CP4" s="1618"/>
      <c r="CQ4" s="1618"/>
      <c r="CR4" s="1618"/>
      <c r="CS4" s="1618"/>
      <c r="CT4" s="1619"/>
    </row>
    <row r="5" spans="2:98" ht="34.5" thickBot="1">
      <c r="B5" s="889" t="s">
        <v>905</v>
      </c>
      <c r="C5" s="890" t="s">
        <v>1306</v>
      </c>
      <c r="D5" s="891" t="s">
        <v>906</v>
      </c>
      <c r="E5" s="892" t="s">
        <v>908</v>
      </c>
      <c r="F5" s="891" t="s">
        <v>907</v>
      </c>
      <c r="G5" s="893" t="s">
        <v>1225</v>
      </c>
      <c r="H5" s="894"/>
      <c r="I5" s="895" t="s">
        <v>1306</v>
      </c>
      <c r="J5" s="891" t="s">
        <v>906</v>
      </c>
      <c r="K5" s="892" t="s">
        <v>908</v>
      </c>
      <c r="L5" s="891" t="s">
        <v>907</v>
      </c>
      <c r="M5" s="893" t="s">
        <v>1225</v>
      </c>
      <c r="N5" s="894"/>
      <c r="O5" s="895" t="s">
        <v>1306</v>
      </c>
      <c r="P5" s="891" t="s">
        <v>906</v>
      </c>
      <c r="Q5" s="892" t="s">
        <v>908</v>
      </c>
      <c r="R5" s="891" t="s">
        <v>907</v>
      </c>
      <c r="S5" s="893" t="s">
        <v>1225</v>
      </c>
      <c r="T5" s="894"/>
      <c r="U5" s="895" t="s">
        <v>1306</v>
      </c>
      <c r="V5" s="891" t="s">
        <v>906</v>
      </c>
      <c r="W5" s="892" t="s">
        <v>908</v>
      </c>
      <c r="X5" s="891" t="s">
        <v>907</v>
      </c>
      <c r="Y5" s="893" t="s">
        <v>1225</v>
      </c>
      <c r="Z5" s="894"/>
      <c r="AA5" s="895" t="s">
        <v>1306</v>
      </c>
      <c r="AB5" s="891" t="s">
        <v>906</v>
      </c>
      <c r="AC5" s="892" t="s">
        <v>908</v>
      </c>
      <c r="AD5" s="891" t="s">
        <v>907</v>
      </c>
      <c r="AE5" s="893" t="s">
        <v>1225</v>
      </c>
      <c r="AF5" s="894"/>
      <c r="AG5" s="895" t="s">
        <v>1306</v>
      </c>
      <c r="AH5" s="891" t="s">
        <v>906</v>
      </c>
      <c r="AI5" s="892" t="s">
        <v>908</v>
      </c>
      <c r="AJ5" s="891" t="s">
        <v>907</v>
      </c>
      <c r="AK5" s="893" t="s">
        <v>1225</v>
      </c>
      <c r="AL5" s="894"/>
      <c r="AM5" s="895" t="s">
        <v>1306</v>
      </c>
      <c r="AN5" s="891" t="s">
        <v>906</v>
      </c>
      <c r="AO5" s="892" t="s">
        <v>908</v>
      </c>
      <c r="AP5" s="891" t="s">
        <v>907</v>
      </c>
      <c r="AQ5" s="893" t="s">
        <v>1225</v>
      </c>
      <c r="AR5" s="894"/>
      <c r="AS5" s="895" t="s">
        <v>1306</v>
      </c>
      <c r="AT5" s="891" t="s">
        <v>906</v>
      </c>
      <c r="AU5" s="892" t="s">
        <v>908</v>
      </c>
      <c r="AV5" s="891" t="s">
        <v>907</v>
      </c>
      <c r="AW5" s="893" t="s">
        <v>1225</v>
      </c>
      <c r="AX5" s="894"/>
      <c r="AY5" s="895" t="s">
        <v>1306</v>
      </c>
      <c r="AZ5" s="891" t="s">
        <v>906</v>
      </c>
      <c r="BA5" s="892" t="s">
        <v>908</v>
      </c>
      <c r="BB5" s="891" t="s">
        <v>907</v>
      </c>
      <c r="BC5" s="893" t="s">
        <v>1225</v>
      </c>
      <c r="BD5" s="894"/>
      <c r="BE5" s="895" t="s">
        <v>1306</v>
      </c>
      <c r="BF5" s="896" t="s">
        <v>906</v>
      </c>
      <c r="BG5" s="892" t="s">
        <v>908</v>
      </c>
      <c r="BH5" s="891" t="s">
        <v>907</v>
      </c>
      <c r="BI5" s="893" t="s">
        <v>1225</v>
      </c>
      <c r="BJ5" s="894"/>
      <c r="BK5" s="895" t="s">
        <v>1306</v>
      </c>
      <c r="BL5" s="891" t="s">
        <v>906</v>
      </c>
      <c r="BM5" s="892" t="s">
        <v>908</v>
      </c>
      <c r="BN5" s="891" t="s">
        <v>907</v>
      </c>
      <c r="BO5" s="893" t="s">
        <v>1225</v>
      </c>
      <c r="BP5" s="894"/>
      <c r="BQ5" s="895" t="s">
        <v>1306</v>
      </c>
      <c r="BR5" s="891" t="s">
        <v>906</v>
      </c>
      <c r="BS5" s="892" t="s">
        <v>908</v>
      </c>
      <c r="BT5" s="891" t="s">
        <v>907</v>
      </c>
      <c r="BU5" s="893" t="s">
        <v>1225</v>
      </c>
      <c r="BV5" s="894"/>
      <c r="BW5" s="895" t="s">
        <v>1306</v>
      </c>
      <c r="BX5" s="891" t="s">
        <v>906</v>
      </c>
      <c r="BY5" s="892" t="s">
        <v>908</v>
      </c>
      <c r="BZ5" s="891" t="s">
        <v>907</v>
      </c>
      <c r="CA5" s="893" t="s">
        <v>1225</v>
      </c>
      <c r="CB5" s="894"/>
      <c r="CC5" s="895" t="s">
        <v>1306</v>
      </c>
      <c r="CD5" s="891" t="s">
        <v>906</v>
      </c>
      <c r="CE5" s="892" t="s">
        <v>908</v>
      </c>
      <c r="CF5" s="891" t="s">
        <v>907</v>
      </c>
      <c r="CG5" s="893" t="s">
        <v>1225</v>
      </c>
      <c r="CH5" s="894"/>
      <c r="CI5" s="895" t="s">
        <v>1306</v>
      </c>
      <c r="CJ5" s="891" t="s">
        <v>906</v>
      </c>
      <c r="CK5" s="892" t="s">
        <v>908</v>
      </c>
      <c r="CL5" s="891" t="s">
        <v>907</v>
      </c>
      <c r="CM5" s="893" t="s">
        <v>1225</v>
      </c>
      <c r="CN5" s="894"/>
      <c r="CO5" s="895" t="s">
        <v>1306</v>
      </c>
      <c r="CP5" s="891" t="s">
        <v>906</v>
      </c>
      <c r="CQ5" s="892" t="s">
        <v>908</v>
      </c>
      <c r="CR5" s="891" t="s">
        <v>907</v>
      </c>
      <c r="CS5" s="893" t="s">
        <v>1225</v>
      </c>
      <c r="CT5" s="894"/>
    </row>
    <row r="6" spans="2:98">
      <c r="B6" s="897" t="s">
        <v>910</v>
      </c>
      <c r="C6" s="898"/>
      <c r="D6" s="898"/>
      <c r="E6" s="898"/>
      <c r="F6" s="898"/>
      <c r="G6" s="899"/>
      <c r="H6" s="900"/>
      <c r="I6" s="898"/>
      <c r="J6" s="901"/>
      <c r="K6" s="902"/>
      <c r="L6" s="901"/>
      <c r="M6" s="899">
        <f t="shared" ref="M6:M22" si="0">+I6+J6+K6-L6</f>
        <v>0</v>
      </c>
      <c r="N6" s="900"/>
      <c r="O6" s="898"/>
      <c r="P6" s="901"/>
      <c r="Q6" s="902"/>
      <c r="R6" s="901"/>
      <c r="S6" s="899">
        <f t="shared" ref="S6:S29" si="1">+O6+P6+Q6-R6</f>
        <v>0</v>
      </c>
      <c r="T6" s="900"/>
      <c r="U6" s="898"/>
      <c r="V6" s="901"/>
      <c r="W6" s="902"/>
      <c r="X6" s="901"/>
      <c r="Y6" s="899">
        <f t="shared" ref="Y6:Y29" si="2">+U6+V6+W6-X6</f>
        <v>0</v>
      </c>
      <c r="Z6" s="900"/>
      <c r="AA6" s="898"/>
      <c r="AB6" s="901"/>
      <c r="AC6" s="902"/>
      <c r="AD6" s="901"/>
      <c r="AE6" s="899">
        <f t="shared" ref="AE6:AE29" si="3">+AA6+AB6+AC6-AD6</f>
        <v>0</v>
      </c>
      <c r="AF6" s="900"/>
      <c r="AG6" s="898"/>
      <c r="AH6" s="901"/>
      <c r="AI6" s="902"/>
      <c r="AJ6" s="901"/>
      <c r="AK6" s="899">
        <f t="shared" ref="AK6:AK29" si="4">+AG6+AH6+AI6-AJ6</f>
        <v>0</v>
      </c>
      <c r="AL6" s="900"/>
      <c r="AM6" s="898"/>
      <c r="AN6" s="901"/>
      <c r="AO6" s="902"/>
      <c r="AP6" s="901"/>
      <c r="AQ6" s="899">
        <f t="shared" ref="AQ6:AQ23" si="5">+AM6+AN6+AO6-AP6</f>
        <v>0</v>
      </c>
      <c r="AR6" s="900"/>
      <c r="AS6" s="898"/>
      <c r="AT6" s="901"/>
      <c r="AU6" s="902"/>
      <c r="AV6" s="901"/>
      <c r="AW6" s="899">
        <f t="shared" ref="AW6:AW29" si="6">+AS6+AT6+AU6-AV6</f>
        <v>0</v>
      </c>
      <c r="AX6" s="900"/>
      <c r="AY6" s="898"/>
      <c r="AZ6" s="903"/>
      <c r="BA6" s="904"/>
      <c r="BB6" s="903"/>
      <c r="BC6" s="899">
        <f t="shared" ref="BC6:BC29" si="7">+AY6+AZ6+BA6-BB6</f>
        <v>0</v>
      </c>
      <c r="BD6" s="900"/>
      <c r="BE6" s="898"/>
      <c r="BF6" s="903"/>
      <c r="BG6" s="902"/>
      <c r="BH6" s="901"/>
      <c r="BI6" s="899">
        <f t="shared" ref="BI6:BI29" si="8">+BE6+BF6+BG6-BH6</f>
        <v>0</v>
      </c>
      <c r="BJ6" s="900"/>
      <c r="BK6" s="898"/>
      <c r="BL6" s="901"/>
      <c r="BM6" s="902"/>
      <c r="BN6" s="901"/>
      <c r="BO6" s="899">
        <f t="shared" ref="BO6:BO29" si="9">+BK6+BL6+BM6-BN6</f>
        <v>0</v>
      </c>
      <c r="BP6" s="900"/>
      <c r="BQ6" s="898"/>
      <c r="BR6" s="901"/>
      <c r="BS6" s="902"/>
      <c r="BT6" s="901"/>
      <c r="BU6" s="899">
        <f t="shared" ref="BU6:BU29" si="10">+BQ6+BR6+BS6-BT6</f>
        <v>0</v>
      </c>
      <c r="BV6" s="900"/>
      <c r="BW6" s="898"/>
      <c r="BX6" s="901"/>
      <c r="BY6" s="902"/>
      <c r="BZ6" s="901"/>
      <c r="CA6" s="899">
        <f t="shared" ref="CA6:CA29" si="11">+BW6+BX6+BY6-BZ6</f>
        <v>0</v>
      </c>
      <c r="CB6" s="900"/>
      <c r="CC6" s="898"/>
      <c r="CD6" s="901"/>
      <c r="CE6" s="902"/>
      <c r="CF6" s="901"/>
      <c r="CG6" s="899">
        <f t="shared" ref="CG6:CG29" si="12">+CC6+CD6+CE6-CF6</f>
        <v>0</v>
      </c>
      <c r="CH6" s="900"/>
      <c r="CI6" s="898"/>
      <c r="CJ6" s="901"/>
      <c r="CK6" s="902"/>
      <c r="CL6" s="901"/>
      <c r="CM6" s="899">
        <f t="shared" ref="CM6:CM29" si="13">+CI6+CJ6+CK6-CL6</f>
        <v>0</v>
      </c>
      <c r="CN6" s="900"/>
      <c r="CO6" s="898"/>
      <c r="CP6" s="901"/>
      <c r="CQ6" s="902"/>
      <c r="CR6" s="901"/>
      <c r="CS6" s="899">
        <f t="shared" ref="CS6:CS29" si="14">+CO6+CP6+CQ6-CR6</f>
        <v>0</v>
      </c>
      <c r="CT6" s="900"/>
    </row>
    <row r="7" spans="2:98">
      <c r="B7" s="905" t="s">
        <v>392</v>
      </c>
      <c r="C7" s="900">
        <f t="shared" ref="C7:F8" si="15">I7+O7+U7+AA7+AG7+AM7+AS7+AY7+BE7+BK7+BQ7+BW7+CC7+CI7+CO7</f>
        <v>3659111</v>
      </c>
      <c r="D7" s="900">
        <f t="shared" si="15"/>
        <v>0</v>
      </c>
      <c r="E7" s="900">
        <f t="shared" si="15"/>
        <v>0</v>
      </c>
      <c r="F7" s="900">
        <f t="shared" si="15"/>
        <v>0</v>
      </c>
      <c r="G7" s="906">
        <f>+C7+D7+E7-F7</f>
        <v>3659111</v>
      </c>
      <c r="H7" s="900"/>
      <c r="I7" s="900"/>
      <c r="J7" s="907"/>
      <c r="K7" s="908"/>
      <c r="L7" s="907"/>
      <c r="M7" s="906">
        <f t="shared" si="0"/>
        <v>0</v>
      </c>
      <c r="N7" s="900"/>
      <c r="O7" s="900">
        <v>3659111</v>
      </c>
      <c r="P7" s="907"/>
      <c r="Q7" s="908"/>
      <c r="R7" s="907"/>
      <c r="S7" s="906">
        <f t="shared" si="1"/>
        <v>3659111</v>
      </c>
      <c r="T7" s="900"/>
      <c r="U7" s="900"/>
      <c r="V7" s="907"/>
      <c r="W7" s="908"/>
      <c r="X7" s="907"/>
      <c r="Y7" s="906">
        <f t="shared" si="2"/>
        <v>0</v>
      </c>
      <c r="Z7" s="900"/>
      <c r="AA7" s="900"/>
      <c r="AB7" s="907"/>
      <c r="AC7" s="908"/>
      <c r="AD7" s="907"/>
      <c r="AE7" s="906">
        <f t="shared" si="3"/>
        <v>0</v>
      </c>
      <c r="AF7" s="900"/>
      <c r="AG7" s="900"/>
      <c r="AH7" s="907"/>
      <c r="AI7" s="908"/>
      <c r="AJ7" s="907"/>
      <c r="AK7" s="906">
        <f t="shared" si="4"/>
        <v>0</v>
      </c>
      <c r="AL7" s="900"/>
      <c r="AM7" s="900"/>
      <c r="AN7" s="907"/>
      <c r="AO7" s="908"/>
      <c r="AP7" s="907"/>
      <c r="AQ7" s="906">
        <f t="shared" si="5"/>
        <v>0</v>
      </c>
      <c r="AR7" s="900"/>
      <c r="AS7" s="900"/>
      <c r="AT7" s="907"/>
      <c r="AU7" s="908"/>
      <c r="AV7" s="907"/>
      <c r="AW7" s="906">
        <f t="shared" si="6"/>
        <v>0</v>
      </c>
      <c r="AX7" s="900"/>
      <c r="AY7" s="900"/>
      <c r="AZ7" s="909"/>
      <c r="BA7" s="910"/>
      <c r="BB7" s="909"/>
      <c r="BC7" s="906">
        <f t="shared" si="7"/>
        <v>0</v>
      </c>
      <c r="BD7" s="900"/>
      <c r="BE7" s="900"/>
      <c r="BF7" s="909"/>
      <c r="BG7" s="908"/>
      <c r="BH7" s="907"/>
      <c r="BI7" s="906">
        <f t="shared" si="8"/>
        <v>0</v>
      </c>
      <c r="BJ7" s="900"/>
      <c r="BK7" s="900"/>
      <c r="BL7" s="907"/>
      <c r="BM7" s="908"/>
      <c r="BN7" s="907"/>
      <c r="BO7" s="906">
        <f t="shared" si="9"/>
        <v>0</v>
      </c>
      <c r="BP7" s="900"/>
      <c r="BQ7" s="900"/>
      <c r="BR7" s="907"/>
      <c r="BS7" s="908"/>
      <c r="BT7" s="907"/>
      <c r="BU7" s="906">
        <f t="shared" si="10"/>
        <v>0</v>
      </c>
      <c r="BV7" s="900"/>
      <c r="BW7" s="900"/>
      <c r="BX7" s="907"/>
      <c r="BY7" s="908"/>
      <c r="BZ7" s="907"/>
      <c r="CA7" s="906">
        <f t="shared" si="11"/>
        <v>0</v>
      </c>
      <c r="CB7" s="900"/>
      <c r="CC7" s="900"/>
      <c r="CD7" s="907"/>
      <c r="CE7" s="908"/>
      <c r="CF7" s="907"/>
      <c r="CG7" s="906">
        <f t="shared" si="12"/>
        <v>0</v>
      </c>
      <c r="CH7" s="900"/>
      <c r="CI7" s="900"/>
      <c r="CJ7" s="907"/>
      <c r="CK7" s="908"/>
      <c r="CL7" s="907"/>
      <c r="CM7" s="906">
        <f t="shared" si="13"/>
        <v>0</v>
      </c>
      <c r="CN7" s="900"/>
      <c r="CO7" s="900"/>
      <c r="CP7" s="907"/>
      <c r="CQ7" s="908"/>
      <c r="CR7" s="907"/>
      <c r="CS7" s="906">
        <f t="shared" si="14"/>
        <v>0</v>
      </c>
      <c r="CT7" s="900"/>
    </row>
    <row r="8" spans="2:98">
      <c r="B8" s="905" t="s">
        <v>393</v>
      </c>
      <c r="C8" s="900">
        <f t="shared" si="15"/>
        <v>1332631</v>
      </c>
      <c r="D8" s="900">
        <f t="shared" si="15"/>
        <v>0</v>
      </c>
      <c r="E8" s="900">
        <f t="shared" si="15"/>
        <v>0</v>
      </c>
      <c r="F8" s="900">
        <f t="shared" si="15"/>
        <v>0</v>
      </c>
      <c r="G8" s="906">
        <f>+C8+D8+E8-F8</f>
        <v>1332631</v>
      </c>
      <c r="H8" s="900"/>
      <c r="I8" s="900">
        <v>1316521</v>
      </c>
      <c r="J8" s="907"/>
      <c r="K8" s="908"/>
      <c r="L8" s="907"/>
      <c r="M8" s="906">
        <f t="shared" si="0"/>
        <v>1316521</v>
      </c>
      <c r="N8" s="900"/>
      <c r="O8" s="900">
        <v>16110</v>
      </c>
      <c r="P8" s="907"/>
      <c r="Q8" s="908"/>
      <c r="R8" s="907"/>
      <c r="S8" s="906">
        <f t="shared" si="1"/>
        <v>16110</v>
      </c>
      <c r="T8" s="900"/>
      <c r="U8" s="900"/>
      <c r="V8" s="907"/>
      <c r="W8" s="908"/>
      <c r="X8" s="907"/>
      <c r="Y8" s="906">
        <f t="shared" si="2"/>
        <v>0</v>
      </c>
      <c r="Z8" s="900"/>
      <c r="AA8" s="900"/>
      <c r="AB8" s="907"/>
      <c r="AC8" s="908"/>
      <c r="AD8" s="907"/>
      <c r="AE8" s="906">
        <f t="shared" si="3"/>
        <v>0</v>
      </c>
      <c r="AF8" s="900"/>
      <c r="AG8" s="900"/>
      <c r="AH8" s="907"/>
      <c r="AI8" s="908"/>
      <c r="AJ8" s="907"/>
      <c r="AK8" s="906">
        <f t="shared" si="4"/>
        <v>0</v>
      </c>
      <c r="AL8" s="900"/>
      <c r="AM8" s="900"/>
      <c r="AN8" s="907"/>
      <c r="AO8" s="908"/>
      <c r="AP8" s="907"/>
      <c r="AQ8" s="906">
        <f t="shared" si="5"/>
        <v>0</v>
      </c>
      <c r="AR8" s="900"/>
      <c r="AS8" s="900"/>
      <c r="AT8" s="907"/>
      <c r="AU8" s="908"/>
      <c r="AV8" s="907"/>
      <c r="AW8" s="906">
        <f t="shared" si="6"/>
        <v>0</v>
      </c>
      <c r="AX8" s="900"/>
      <c r="AY8" s="900"/>
      <c r="AZ8" s="909"/>
      <c r="BA8" s="910"/>
      <c r="BB8" s="909"/>
      <c r="BC8" s="906">
        <f t="shared" si="7"/>
        <v>0</v>
      </c>
      <c r="BD8" s="900"/>
      <c r="BE8" s="900"/>
      <c r="BF8" s="909"/>
      <c r="BG8" s="908"/>
      <c r="BH8" s="907"/>
      <c r="BI8" s="906">
        <f t="shared" si="8"/>
        <v>0</v>
      </c>
      <c r="BJ8" s="900"/>
      <c r="BK8" s="900"/>
      <c r="BL8" s="907"/>
      <c r="BM8" s="908"/>
      <c r="BN8" s="907"/>
      <c r="BO8" s="906">
        <f t="shared" si="9"/>
        <v>0</v>
      </c>
      <c r="BP8" s="900"/>
      <c r="BQ8" s="900"/>
      <c r="BR8" s="907"/>
      <c r="BS8" s="908"/>
      <c r="BT8" s="907"/>
      <c r="BU8" s="906">
        <f t="shared" si="10"/>
        <v>0</v>
      </c>
      <c r="BV8" s="900"/>
      <c r="BW8" s="900"/>
      <c r="BX8" s="907"/>
      <c r="BY8" s="908"/>
      <c r="BZ8" s="907"/>
      <c r="CA8" s="906">
        <f t="shared" si="11"/>
        <v>0</v>
      </c>
      <c r="CB8" s="900"/>
      <c r="CC8" s="900"/>
      <c r="CD8" s="907"/>
      <c r="CE8" s="908"/>
      <c r="CF8" s="907"/>
      <c r="CG8" s="906">
        <f t="shared" si="12"/>
        <v>0</v>
      </c>
      <c r="CH8" s="900"/>
      <c r="CI8" s="900"/>
      <c r="CJ8" s="907"/>
      <c r="CK8" s="908"/>
      <c r="CL8" s="907"/>
      <c r="CM8" s="906">
        <f t="shared" si="13"/>
        <v>0</v>
      </c>
      <c r="CN8" s="900"/>
      <c r="CO8" s="900"/>
      <c r="CP8" s="907"/>
      <c r="CQ8" s="908"/>
      <c r="CR8" s="907"/>
      <c r="CS8" s="906">
        <f t="shared" si="14"/>
        <v>0</v>
      </c>
      <c r="CT8" s="900"/>
    </row>
    <row r="9" spans="2:98">
      <c r="B9" s="911" t="s">
        <v>911</v>
      </c>
      <c r="C9" s="900"/>
      <c r="D9" s="900"/>
      <c r="E9" s="900"/>
      <c r="F9" s="900"/>
      <c r="G9" s="906"/>
      <c r="H9" s="900"/>
      <c r="I9" s="900"/>
      <c r="J9" s="907"/>
      <c r="K9" s="908"/>
      <c r="L9" s="907"/>
      <c r="M9" s="906">
        <f t="shared" si="0"/>
        <v>0</v>
      </c>
      <c r="N9" s="900"/>
      <c r="O9" s="900"/>
      <c r="P9" s="907"/>
      <c r="Q9" s="908"/>
      <c r="R9" s="907"/>
      <c r="S9" s="906">
        <f t="shared" si="1"/>
        <v>0</v>
      </c>
      <c r="T9" s="900"/>
      <c r="U9" s="900"/>
      <c r="V9" s="907"/>
      <c r="W9" s="908"/>
      <c r="X9" s="907"/>
      <c r="Y9" s="906">
        <f t="shared" si="2"/>
        <v>0</v>
      </c>
      <c r="Z9" s="900"/>
      <c r="AA9" s="900"/>
      <c r="AB9" s="907"/>
      <c r="AC9" s="908"/>
      <c r="AD9" s="907"/>
      <c r="AE9" s="906">
        <f t="shared" si="3"/>
        <v>0</v>
      </c>
      <c r="AF9" s="900"/>
      <c r="AG9" s="900"/>
      <c r="AH9" s="907"/>
      <c r="AI9" s="908"/>
      <c r="AJ9" s="907"/>
      <c r="AK9" s="906">
        <f t="shared" si="4"/>
        <v>0</v>
      </c>
      <c r="AL9" s="900"/>
      <c r="AM9" s="900"/>
      <c r="AN9" s="907"/>
      <c r="AO9" s="908"/>
      <c r="AP9" s="907"/>
      <c r="AQ9" s="906">
        <f t="shared" si="5"/>
        <v>0</v>
      </c>
      <c r="AR9" s="900"/>
      <c r="AS9" s="900"/>
      <c r="AT9" s="907"/>
      <c r="AU9" s="908"/>
      <c r="AV9" s="907"/>
      <c r="AW9" s="906">
        <f t="shared" si="6"/>
        <v>0</v>
      </c>
      <c r="AX9" s="900"/>
      <c r="AY9" s="900"/>
      <c r="AZ9" s="909"/>
      <c r="BA9" s="910"/>
      <c r="BB9" s="909"/>
      <c r="BC9" s="906">
        <f t="shared" si="7"/>
        <v>0</v>
      </c>
      <c r="BD9" s="900"/>
      <c r="BE9" s="900"/>
      <c r="BF9" s="909"/>
      <c r="BG9" s="908"/>
      <c r="BH9" s="907"/>
      <c r="BI9" s="906">
        <f t="shared" si="8"/>
        <v>0</v>
      </c>
      <c r="BJ9" s="900"/>
      <c r="BK9" s="900"/>
      <c r="BL9" s="907"/>
      <c r="BM9" s="908"/>
      <c r="BN9" s="907"/>
      <c r="BO9" s="906">
        <f t="shared" si="9"/>
        <v>0</v>
      </c>
      <c r="BP9" s="900"/>
      <c r="BQ9" s="900"/>
      <c r="BR9" s="907"/>
      <c r="BS9" s="908"/>
      <c r="BT9" s="907"/>
      <c r="BU9" s="906">
        <f t="shared" si="10"/>
        <v>0</v>
      </c>
      <c r="BV9" s="900"/>
      <c r="BW9" s="900"/>
      <c r="BX9" s="907"/>
      <c r="BY9" s="908"/>
      <c r="BZ9" s="907"/>
      <c r="CA9" s="906">
        <f t="shared" si="11"/>
        <v>0</v>
      </c>
      <c r="CB9" s="900"/>
      <c r="CC9" s="900"/>
      <c r="CD9" s="907"/>
      <c r="CE9" s="908"/>
      <c r="CF9" s="907"/>
      <c r="CG9" s="906">
        <f t="shared" si="12"/>
        <v>0</v>
      </c>
      <c r="CH9" s="900"/>
      <c r="CI9" s="900"/>
      <c r="CJ9" s="907"/>
      <c r="CK9" s="908"/>
      <c r="CL9" s="907"/>
      <c r="CM9" s="906">
        <f t="shared" si="13"/>
        <v>0</v>
      </c>
      <c r="CN9" s="900"/>
      <c r="CO9" s="900"/>
      <c r="CP9" s="907"/>
      <c r="CQ9" s="908"/>
      <c r="CR9" s="907"/>
      <c r="CS9" s="906">
        <f t="shared" si="14"/>
        <v>0</v>
      </c>
      <c r="CT9" s="900"/>
    </row>
    <row r="10" spans="2:98">
      <c r="B10" s="905" t="s">
        <v>392</v>
      </c>
      <c r="C10" s="900">
        <f t="shared" ref="C10:F11" si="16">I10+O10+U10+AA10+AG10+AM10+AS10+AY10+BE10+BK10+BQ10+BW10+CC10+CI10+CO10</f>
        <v>39596457</v>
      </c>
      <c r="D10" s="900">
        <f t="shared" si="16"/>
        <v>0</v>
      </c>
      <c r="E10" s="900">
        <f t="shared" si="16"/>
        <v>0</v>
      </c>
      <c r="F10" s="900">
        <f t="shared" si="16"/>
        <v>0</v>
      </c>
      <c r="G10" s="906">
        <f t="shared" ref="G10:G11" si="17">+C10+D10+E10-F10</f>
        <v>39596457</v>
      </c>
      <c r="H10" s="900"/>
      <c r="I10" s="900">
        <v>11071815</v>
      </c>
      <c r="J10" s="907"/>
      <c r="K10" s="908"/>
      <c r="L10" s="907"/>
      <c r="M10" s="906">
        <f t="shared" si="0"/>
        <v>11071815</v>
      </c>
      <c r="N10" s="900"/>
      <c r="O10" s="900">
        <v>1575000</v>
      </c>
      <c r="P10" s="907"/>
      <c r="Q10" s="908"/>
      <c r="R10" s="907"/>
      <c r="S10" s="906">
        <f t="shared" si="1"/>
        <v>1575000</v>
      </c>
      <c r="T10" s="900"/>
      <c r="U10" s="900"/>
      <c r="V10" s="907"/>
      <c r="W10" s="908"/>
      <c r="X10" s="907"/>
      <c r="Y10" s="906">
        <f t="shared" si="2"/>
        <v>0</v>
      </c>
      <c r="Z10" s="900"/>
      <c r="AA10" s="900"/>
      <c r="AB10" s="907"/>
      <c r="AC10" s="908"/>
      <c r="AD10" s="907"/>
      <c r="AE10" s="906">
        <f t="shared" si="3"/>
        <v>0</v>
      </c>
      <c r="AF10" s="900"/>
      <c r="AG10" s="900"/>
      <c r="AH10" s="907"/>
      <c r="AI10" s="908"/>
      <c r="AJ10" s="907"/>
      <c r="AK10" s="906">
        <f t="shared" si="4"/>
        <v>0</v>
      </c>
      <c r="AL10" s="900"/>
      <c r="AM10" s="900">
        <v>24799540</v>
      </c>
      <c r="AN10" s="907"/>
      <c r="AO10" s="908"/>
      <c r="AP10" s="907"/>
      <c r="AQ10" s="906">
        <f t="shared" si="5"/>
        <v>24799540</v>
      </c>
      <c r="AR10" s="900"/>
      <c r="AS10" s="900"/>
      <c r="AT10" s="907"/>
      <c r="AU10" s="908"/>
      <c r="AV10" s="907"/>
      <c r="AW10" s="906">
        <f t="shared" si="6"/>
        <v>0</v>
      </c>
      <c r="AX10" s="900"/>
      <c r="AY10" s="900">
        <v>425186</v>
      </c>
      <c r="AZ10" s="909"/>
      <c r="BA10" s="910"/>
      <c r="BB10" s="909"/>
      <c r="BC10" s="906">
        <f t="shared" si="7"/>
        <v>425186</v>
      </c>
      <c r="BD10" s="900"/>
      <c r="BE10" s="900">
        <v>13221</v>
      </c>
      <c r="BF10" s="909"/>
      <c r="BG10" s="908"/>
      <c r="BH10" s="907"/>
      <c r="BI10" s="906">
        <f t="shared" si="8"/>
        <v>13221</v>
      </c>
      <c r="BJ10" s="900"/>
      <c r="BK10" s="900"/>
      <c r="BL10" s="907"/>
      <c r="BM10" s="908"/>
      <c r="BN10" s="907"/>
      <c r="BO10" s="906">
        <f t="shared" si="9"/>
        <v>0</v>
      </c>
      <c r="BP10" s="900"/>
      <c r="BQ10" s="900">
        <v>150</v>
      </c>
      <c r="BR10" s="907"/>
      <c r="BS10" s="908"/>
      <c r="BT10" s="907"/>
      <c r="BU10" s="906">
        <f t="shared" si="10"/>
        <v>150</v>
      </c>
      <c r="BV10" s="900"/>
      <c r="BW10" s="900"/>
      <c r="BX10" s="907"/>
      <c r="BY10" s="908"/>
      <c r="BZ10" s="907"/>
      <c r="CA10" s="906">
        <f t="shared" si="11"/>
        <v>0</v>
      </c>
      <c r="CB10" s="900"/>
      <c r="CC10" s="900"/>
      <c r="CD10" s="907"/>
      <c r="CE10" s="908"/>
      <c r="CF10" s="907"/>
      <c r="CG10" s="906">
        <f t="shared" si="12"/>
        <v>0</v>
      </c>
      <c r="CH10" s="900"/>
      <c r="CI10" s="900"/>
      <c r="CJ10" s="907"/>
      <c r="CK10" s="908"/>
      <c r="CL10" s="907"/>
      <c r="CM10" s="906">
        <f t="shared" si="13"/>
        <v>0</v>
      </c>
      <c r="CN10" s="900"/>
      <c r="CO10" s="900">
        <v>1711545</v>
      </c>
      <c r="CP10" s="907"/>
      <c r="CQ10" s="908"/>
      <c r="CR10" s="907"/>
      <c r="CS10" s="906">
        <f t="shared" si="14"/>
        <v>1711545</v>
      </c>
      <c r="CT10" s="900"/>
    </row>
    <row r="11" spans="2:98">
      <c r="B11" s="905" t="s">
        <v>393</v>
      </c>
      <c r="C11" s="900">
        <f t="shared" si="16"/>
        <v>2670348</v>
      </c>
      <c r="D11" s="900">
        <f t="shared" si="16"/>
        <v>0</v>
      </c>
      <c r="E11" s="900">
        <f t="shared" si="16"/>
        <v>0</v>
      </c>
      <c r="F11" s="900">
        <f t="shared" si="16"/>
        <v>0</v>
      </c>
      <c r="G11" s="906">
        <f t="shared" si="17"/>
        <v>2670348</v>
      </c>
      <c r="H11" s="900"/>
      <c r="I11" s="900">
        <v>1243638</v>
      </c>
      <c r="J11" s="907"/>
      <c r="K11" s="908"/>
      <c r="L11" s="907"/>
      <c r="M11" s="906">
        <f t="shared" si="0"/>
        <v>1243638</v>
      </c>
      <c r="N11" s="900"/>
      <c r="O11" s="900"/>
      <c r="P11" s="907"/>
      <c r="Q11" s="908"/>
      <c r="R11" s="907"/>
      <c r="S11" s="906">
        <f t="shared" si="1"/>
        <v>0</v>
      </c>
      <c r="T11" s="900"/>
      <c r="U11" s="900"/>
      <c r="V11" s="907"/>
      <c r="W11" s="908"/>
      <c r="X11" s="907"/>
      <c r="Y11" s="906">
        <f t="shared" si="2"/>
        <v>0</v>
      </c>
      <c r="Z11" s="900"/>
      <c r="AA11" s="900"/>
      <c r="AB11" s="907"/>
      <c r="AC11" s="908"/>
      <c r="AD11" s="907"/>
      <c r="AE11" s="906">
        <f t="shared" si="3"/>
        <v>0</v>
      </c>
      <c r="AF11" s="900"/>
      <c r="AG11" s="900"/>
      <c r="AH11" s="907"/>
      <c r="AI11" s="908"/>
      <c r="AJ11" s="907"/>
      <c r="AK11" s="906">
        <f t="shared" si="4"/>
        <v>0</v>
      </c>
      <c r="AL11" s="900"/>
      <c r="AM11" s="900"/>
      <c r="AN11" s="907"/>
      <c r="AO11" s="908"/>
      <c r="AP11" s="907"/>
      <c r="AQ11" s="906">
        <f t="shared" si="5"/>
        <v>0</v>
      </c>
      <c r="AR11" s="900"/>
      <c r="AS11" s="900">
        <v>1049750</v>
      </c>
      <c r="AT11" s="907"/>
      <c r="AU11" s="908"/>
      <c r="AV11" s="907"/>
      <c r="AW11" s="906">
        <f t="shared" si="6"/>
        <v>1049750</v>
      </c>
      <c r="AX11" s="900"/>
      <c r="AY11" s="900">
        <v>376960</v>
      </c>
      <c r="AZ11" s="909"/>
      <c r="BA11" s="910"/>
      <c r="BB11" s="909"/>
      <c r="BC11" s="906">
        <f t="shared" si="7"/>
        <v>376960</v>
      </c>
      <c r="BD11" s="900"/>
      <c r="BE11" s="900"/>
      <c r="BF11" s="909"/>
      <c r="BG11" s="908"/>
      <c r="BH11" s="907"/>
      <c r="BI11" s="906">
        <f t="shared" si="8"/>
        <v>0</v>
      </c>
      <c r="BJ11" s="900"/>
      <c r="BK11" s="900"/>
      <c r="BL11" s="907"/>
      <c r="BM11" s="908"/>
      <c r="BN11" s="907"/>
      <c r="BO11" s="906">
        <f t="shared" si="9"/>
        <v>0</v>
      </c>
      <c r="BP11" s="900"/>
      <c r="BQ11" s="900"/>
      <c r="BR11" s="907"/>
      <c r="BS11" s="908"/>
      <c r="BT11" s="907"/>
      <c r="BU11" s="906">
        <f t="shared" si="10"/>
        <v>0</v>
      </c>
      <c r="BV11" s="900"/>
      <c r="BW11" s="900"/>
      <c r="BX11" s="907"/>
      <c r="BY11" s="908"/>
      <c r="BZ11" s="907"/>
      <c r="CA11" s="906">
        <f t="shared" si="11"/>
        <v>0</v>
      </c>
      <c r="CB11" s="900"/>
      <c r="CC11" s="900"/>
      <c r="CD11" s="907"/>
      <c r="CE11" s="908"/>
      <c r="CF11" s="907"/>
      <c r="CG11" s="906">
        <f t="shared" si="12"/>
        <v>0</v>
      </c>
      <c r="CH11" s="900"/>
      <c r="CI11" s="900"/>
      <c r="CJ11" s="907"/>
      <c r="CK11" s="908"/>
      <c r="CL11" s="907"/>
      <c r="CM11" s="906">
        <f t="shared" si="13"/>
        <v>0</v>
      </c>
      <c r="CN11" s="900"/>
      <c r="CO11" s="900"/>
      <c r="CP11" s="907"/>
      <c r="CQ11" s="908"/>
      <c r="CR11" s="907"/>
      <c r="CS11" s="906">
        <f t="shared" si="14"/>
        <v>0</v>
      </c>
      <c r="CT11" s="900"/>
    </row>
    <row r="12" spans="2:98">
      <c r="B12" s="911" t="s">
        <v>912</v>
      </c>
      <c r="C12" s="900"/>
      <c r="D12" s="900"/>
      <c r="E12" s="900"/>
      <c r="F12" s="900"/>
      <c r="G12" s="906"/>
      <c r="H12" s="900"/>
      <c r="I12" s="900"/>
      <c r="J12" s="907"/>
      <c r="K12" s="908"/>
      <c r="L12" s="907"/>
      <c r="M12" s="906">
        <f t="shared" si="0"/>
        <v>0</v>
      </c>
      <c r="N12" s="900"/>
      <c r="O12" s="900"/>
      <c r="P12" s="907"/>
      <c r="Q12" s="908"/>
      <c r="R12" s="907"/>
      <c r="S12" s="906">
        <f t="shared" si="1"/>
        <v>0</v>
      </c>
      <c r="T12" s="900"/>
      <c r="U12" s="900"/>
      <c r="V12" s="907"/>
      <c r="W12" s="908"/>
      <c r="X12" s="907"/>
      <c r="Y12" s="906">
        <f t="shared" si="2"/>
        <v>0</v>
      </c>
      <c r="Z12" s="900"/>
      <c r="AA12" s="900"/>
      <c r="AB12" s="907"/>
      <c r="AC12" s="908"/>
      <c r="AD12" s="907"/>
      <c r="AE12" s="906">
        <f t="shared" si="3"/>
        <v>0</v>
      </c>
      <c r="AF12" s="900"/>
      <c r="AG12" s="900"/>
      <c r="AH12" s="907"/>
      <c r="AI12" s="908"/>
      <c r="AJ12" s="907"/>
      <c r="AK12" s="906">
        <f t="shared" si="4"/>
        <v>0</v>
      </c>
      <c r="AL12" s="900"/>
      <c r="AM12" s="900"/>
      <c r="AN12" s="907"/>
      <c r="AO12" s="908"/>
      <c r="AP12" s="907"/>
      <c r="AQ12" s="906">
        <f t="shared" si="5"/>
        <v>0</v>
      </c>
      <c r="AR12" s="900"/>
      <c r="AS12" s="900"/>
      <c r="AT12" s="907"/>
      <c r="AU12" s="908"/>
      <c r="AV12" s="907"/>
      <c r="AW12" s="906">
        <f t="shared" si="6"/>
        <v>0</v>
      </c>
      <c r="AX12" s="900"/>
      <c r="AY12" s="900"/>
      <c r="AZ12" s="909"/>
      <c r="BA12" s="910"/>
      <c r="BB12" s="909"/>
      <c r="BC12" s="906">
        <f t="shared" si="7"/>
        <v>0</v>
      </c>
      <c r="BD12" s="900"/>
      <c r="BE12" s="900"/>
      <c r="BF12" s="909"/>
      <c r="BG12" s="908"/>
      <c r="BH12" s="907"/>
      <c r="BI12" s="906">
        <f t="shared" si="8"/>
        <v>0</v>
      </c>
      <c r="BJ12" s="900"/>
      <c r="BK12" s="900"/>
      <c r="BL12" s="907"/>
      <c r="BM12" s="908"/>
      <c r="BN12" s="907"/>
      <c r="BO12" s="906">
        <f t="shared" si="9"/>
        <v>0</v>
      </c>
      <c r="BP12" s="900"/>
      <c r="BQ12" s="900"/>
      <c r="BR12" s="907"/>
      <c r="BS12" s="908"/>
      <c r="BT12" s="907"/>
      <c r="BU12" s="906">
        <f t="shared" si="10"/>
        <v>0</v>
      </c>
      <c r="BV12" s="900"/>
      <c r="BW12" s="900"/>
      <c r="BX12" s="907"/>
      <c r="BY12" s="908"/>
      <c r="BZ12" s="907"/>
      <c r="CA12" s="906">
        <f t="shared" si="11"/>
        <v>0</v>
      </c>
      <c r="CB12" s="900"/>
      <c r="CC12" s="900"/>
      <c r="CD12" s="907"/>
      <c r="CE12" s="908"/>
      <c r="CF12" s="907"/>
      <c r="CG12" s="906">
        <f t="shared" si="12"/>
        <v>0</v>
      </c>
      <c r="CH12" s="900"/>
      <c r="CI12" s="900"/>
      <c r="CJ12" s="907"/>
      <c r="CK12" s="908"/>
      <c r="CL12" s="907"/>
      <c r="CM12" s="906">
        <f t="shared" si="13"/>
        <v>0</v>
      </c>
      <c r="CN12" s="900"/>
      <c r="CO12" s="900"/>
      <c r="CP12" s="907"/>
      <c r="CQ12" s="908"/>
      <c r="CR12" s="907"/>
      <c r="CS12" s="906">
        <f t="shared" si="14"/>
        <v>0</v>
      </c>
      <c r="CT12" s="900"/>
    </row>
    <row r="13" spans="2:98">
      <c r="B13" s="905" t="s">
        <v>394</v>
      </c>
      <c r="C13" s="900">
        <f t="shared" ref="C13:F28" si="18">I13+O13+U13+AA13+AG13+AM13+AS13+AY13+BE13+BK13+BQ13+BW13+CC13+CI13+CO13</f>
        <v>127604051</v>
      </c>
      <c r="D13" s="900">
        <f t="shared" si="18"/>
        <v>0</v>
      </c>
      <c r="E13" s="900">
        <f t="shared" si="18"/>
        <v>0</v>
      </c>
      <c r="F13" s="900">
        <f t="shared" si="18"/>
        <v>0</v>
      </c>
      <c r="G13" s="906">
        <f t="shared" ref="G13:G29" si="19">+C13+D13+E13-F13</f>
        <v>127604051</v>
      </c>
      <c r="H13" s="900"/>
      <c r="I13" s="900">
        <v>32637459</v>
      </c>
      <c r="J13" s="907"/>
      <c r="K13" s="908"/>
      <c r="L13" s="907"/>
      <c r="M13" s="906">
        <f t="shared" si="0"/>
        <v>32637459</v>
      </c>
      <c r="N13" s="900"/>
      <c r="O13" s="900">
        <v>3087082</v>
      </c>
      <c r="P13" s="907"/>
      <c r="Q13" s="908"/>
      <c r="R13" s="907"/>
      <c r="S13" s="906">
        <f t="shared" si="1"/>
        <v>3087082</v>
      </c>
      <c r="T13" s="900"/>
      <c r="U13" s="900">
        <v>2267146</v>
      </c>
      <c r="V13" s="907"/>
      <c r="W13" s="908"/>
      <c r="X13" s="907"/>
      <c r="Y13" s="906">
        <f t="shared" si="2"/>
        <v>2267146</v>
      </c>
      <c r="Z13" s="900"/>
      <c r="AA13" s="900"/>
      <c r="AB13" s="907"/>
      <c r="AC13" s="908"/>
      <c r="AD13" s="907"/>
      <c r="AE13" s="906">
        <f t="shared" si="3"/>
        <v>0</v>
      </c>
      <c r="AF13" s="900"/>
      <c r="AG13" s="900"/>
      <c r="AH13" s="907"/>
      <c r="AI13" s="908"/>
      <c r="AJ13" s="907"/>
      <c r="AK13" s="906">
        <f t="shared" si="4"/>
        <v>0</v>
      </c>
      <c r="AL13" s="900"/>
      <c r="AM13" s="900">
        <v>42355692</v>
      </c>
      <c r="AN13" s="907"/>
      <c r="AO13" s="910"/>
      <c r="AP13" s="909"/>
      <c r="AQ13" s="906">
        <f t="shared" si="5"/>
        <v>42355692</v>
      </c>
      <c r="AR13" s="900"/>
      <c r="AS13" s="900">
        <v>2900</v>
      </c>
      <c r="AT13" s="907"/>
      <c r="AU13" s="908"/>
      <c r="AV13" s="907"/>
      <c r="AW13" s="906">
        <f t="shared" si="6"/>
        <v>2900</v>
      </c>
      <c r="AX13" s="900"/>
      <c r="AY13" s="900">
        <v>25733818</v>
      </c>
      <c r="AZ13" s="909"/>
      <c r="BA13" s="910"/>
      <c r="BB13" s="909"/>
      <c r="BC13" s="906">
        <f t="shared" si="7"/>
        <v>25733818</v>
      </c>
      <c r="BD13" s="900"/>
      <c r="BE13" s="900">
        <v>3092122</v>
      </c>
      <c r="BF13" s="909"/>
      <c r="BG13" s="908"/>
      <c r="BH13" s="907"/>
      <c r="BI13" s="906">
        <f t="shared" si="8"/>
        <v>3092122</v>
      </c>
      <c r="BJ13" s="900"/>
      <c r="BK13" s="900"/>
      <c r="BL13" s="907"/>
      <c r="BM13" s="908"/>
      <c r="BN13" s="909"/>
      <c r="BO13" s="906">
        <f t="shared" si="9"/>
        <v>0</v>
      </c>
      <c r="BP13" s="900"/>
      <c r="BQ13" s="900">
        <v>4101592</v>
      </c>
      <c r="BR13" s="907"/>
      <c r="BS13" s="908"/>
      <c r="BT13" s="907"/>
      <c r="BU13" s="906">
        <f t="shared" si="10"/>
        <v>4101592</v>
      </c>
      <c r="BV13" s="900"/>
      <c r="BW13" s="900"/>
      <c r="BX13" s="907"/>
      <c r="BY13" s="908"/>
      <c r="BZ13" s="907"/>
      <c r="CA13" s="906">
        <f t="shared" si="11"/>
        <v>0</v>
      </c>
      <c r="CB13" s="900"/>
      <c r="CC13" s="900"/>
      <c r="CD13" s="907"/>
      <c r="CE13" s="908"/>
      <c r="CF13" s="907"/>
      <c r="CG13" s="906">
        <f t="shared" si="12"/>
        <v>0</v>
      </c>
      <c r="CH13" s="900"/>
      <c r="CI13" s="900"/>
      <c r="CJ13" s="907"/>
      <c r="CK13" s="908"/>
      <c r="CL13" s="907"/>
      <c r="CM13" s="906">
        <f t="shared" si="13"/>
        <v>0</v>
      </c>
      <c r="CN13" s="900"/>
      <c r="CO13" s="900">
        <v>14326240</v>
      </c>
      <c r="CP13" s="907"/>
      <c r="CQ13" s="908"/>
      <c r="CR13" s="907"/>
      <c r="CS13" s="906">
        <f t="shared" si="14"/>
        <v>14326240</v>
      </c>
      <c r="CT13" s="900"/>
    </row>
    <row r="14" spans="2:98">
      <c r="B14" s="905" t="s">
        <v>396</v>
      </c>
      <c r="C14" s="900">
        <f t="shared" si="18"/>
        <v>65718669</v>
      </c>
      <c r="D14" s="900">
        <f t="shared" si="18"/>
        <v>185743</v>
      </c>
      <c r="E14" s="900">
        <f t="shared" si="18"/>
        <v>0</v>
      </c>
      <c r="F14" s="900">
        <f t="shared" si="18"/>
        <v>0</v>
      </c>
      <c r="G14" s="906">
        <f t="shared" si="19"/>
        <v>65904412</v>
      </c>
      <c r="H14" s="900"/>
      <c r="I14" s="900">
        <v>18617919</v>
      </c>
      <c r="J14" s="907">
        <v>185743</v>
      </c>
      <c r="K14" s="908"/>
      <c r="L14" s="907"/>
      <c r="M14" s="906">
        <f t="shared" si="0"/>
        <v>18803662</v>
      </c>
      <c r="N14" s="900"/>
      <c r="O14" s="900">
        <v>8339117</v>
      </c>
      <c r="P14" s="907"/>
      <c r="Q14" s="908"/>
      <c r="R14" s="907"/>
      <c r="S14" s="906">
        <f t="shared" si="1"/>
        <v>8339117</v>
      </c>
      <c r="T14" s="900"/>
      <c r="U14" s="900">
        <v>709839</v>
      </c>
      <c r="V14" s="907"/>
      <c r="W14" s="908"/>
      <c r="X14" s="907"/>
      <c r="Y14" s="906">
        <f t="shared" si="2"/>
        <v>709839</v>
      </c>
      <c r="Z14" s="900"/>
      <c r="AA14" s="900"/>
      <c r="AB14" s="907"/>
      <c r="AC14" s="908"/>
      <c r="AD14" s="907"/>
      <c r="AE14" s="906">
        <f t="shared" si="3"/>
        <v>0</v>
      </c>
      <c r="AF14" s="900"/>
      <c r="AG14" s="900"/>
      <c r="AH14" s="907"/>
      <c r="AI14" s="908"/>
      <c r="AJ14" s="907"/>
      <c r="AK14" s="906">
        <f t="shared" si="4"/>
        <v>0</v>
      </c>
      <c r="AL14" s="900"/>
      <c r="AM14" s="900">
        <v>9152187</v>
      </c>
      <c r="AN14" s="907"/>
      <c r="AO14" s="910"/>
      <c r="AP14" s="909"/>
      <c r="AQ14" s="906">
        <f t="shared" si="5"/>
        <v>9152187</v>
      </c>
      <c r="AR14" s="900"/>
      <c r="AS14" s="900">
        <v>7273272</v>
      </c>
      <c r="AT14" s="907"/>
      <c r="AU14" s="908"/>
      <c r="AV14" s="907"/>
      <c r="AW14" s="906">
        <f t="shared" si="6"/>
        <v>7273272</v>
      </c>
      <c r="AX14" s="900"/>
      <c r="AY14" s="900">
        <v>16268204</v>
      </c>
      <c r="AZ14" s="909"/>
      <c r="BA14" s="910"/>
      <c r="BB14" s="909"/>
      <c r="BC14" s="906">
        <f t="shared" si="7"/>
        <v>16268204</v>
      </c>
      <c r="BD14" s="900"/>
      <c r="BE14" s="900">
        <v>4476458</v>
      </c>
      <c r="BF14" s="909"/>
      <c r="BG14" s="908"/>
      <c r="BH14" s="907"/>
      <c r="BI14" s="906">
        <f t="shared" si="8"/>
        <v>4476458</v>
      </c>
      <c r="BJ14" s="900"/>
      <c r="BK14" s="900"/>
      <c r="BL14" s="907"/>
      <c r="BM14" s="908"/>
      <c r="BN14" s="909"/>
      <c r="BO14" s="906">
        <f t="shared" si="9"/>
        <v>0</v>
      </c>
      <c r="BP14" s="900"/>
      <c r="BQ14" s="900"/>
      <c r="BR14" s="907"/>
      <c r="BS14" s="908"/>
      <c r="BT14" s="907"/>
      <c r="BU14" s="906">
        <f t="shared" si="10"/>
        <v>0</v>
      </c>
      <c r="BV14" s="900"/>
      <c r="BW14" s="900"/>
      <c r="BX14" s="907"/>
      <c r="BY14" s="908"/>
      <c r="BZ14" s="907"/>
      <c r="CA14" s="906">
        <f t="shared" si="11"/>
        <v>0</v>
      </c>
      <c r="CB14" s="900"/>
      <c r="CC14" s="900"/>
      <c r="CD14" s="907"/>
      <c r="CE14" s="908"/>
      <c r="CF14" s="907"/>
      <c r="CG14" s="906">
        <f t="shared" si="12"/>
        <v>0</v>
      </c>
      <c r="CH14" s="900"/>
      <c r="CI14" s="900">
        <v>881673</v>
      </c>
      <c r="CJ14" s="907"/>
      <c r="CK14" s="908"/>
      <c r="CL14" s="907"/>
      <c r="CM14" s="906">
        <f t="shared" si="13"/>
        <v>881673</v>
      </c>
      <c r="CN14" s="900"/>
      <c r="CO14" s="900"/>
      <c r="CP14" s="907"/>
      <c r="CQ14" s="908"/>
      <c r="CR14" s="907"/>
      <c r="CS14" s="906">
        <f t="shared" si="14"/>
        <v>0</v>
      </c>
      <c r="CT14" s="900"/>
    </row>
    <row r="15" spans="2:98" ht="21">
      <c r="B15" s="905" t="s">
        <v>397</v>
      </c>
      <c r="C15" s="900">
        <f t="shared" si="18"/>
        <v>9484462</v>
      </c>
      <c r="D15" s="900">
        <f t="shared" si="18"/>
        <v>0</v>
      </c>
      <c r="E15" s="900">
        <f t="shared" si="18"/>
        <v>0</v>
      </c>
      <c r="F15" s="900">
        <f t="shared" si="18"/>
        <v>0</v>
      </c>
      <c r="G15" s="906">
        <f t="shared" si="19"/>
        <v>9484462</v>
      </c>
      <c r="H15" s="900"/>
      <c r="I15" s="912">
        <v>3024638</v>
      </c>
      <c r="J15" s="913"/>
      <c r="K15" s="908"/>
      <c r="L15" s="907"/>
      <c r="M15" s="906">
        <f t="shared" si="0"/>
        <v>3024638</v>
      </c>
      <c r="N15" s="900"/>
      <c r="O15" s="900"/>
      <c r="P15" s="907"/>
      <c r="Q15" s="908"/>
      <c r="R15" s="907"/>
      <c r="S15" s="906">
        <f t="shared" si="1"/>
        <v>0</v>
      </c>
      <c r="T15" s="900"/>
      <c r="U15" s="900"/>
      <c r="V15" s="907"/>
      <c r="W15" s="908"/>
      <c r="X15" s="907"/>
      <c r="Y15" s="906">
        <f t="shared" si="2"/>
        <v>0</v>
      </c>
      <c r="Z15" s="900"/>
      <c r="AA15" s="900"/>
      <c r="AB15" s="907"/>
      <c r="AC15" s="908"/>
      <c r="AD15" s="907"/>
      <c r="AE15" s="906">
        <f t="shared" si="3"/>
        <v>0</v>
      </c>
      <c r="AF15" s="900"/>
      <c r="AG15" s="900"/>
      <c r="AH15" s="907"/>
      <c r="AI15" s="908"/>
      <c r="AJ15" s="907"/>
      <c r="AK15" s="906">
        <f t="shared" si="4"/>
        <v>0</v>
      </c>
      <c r="AL15" s="900"/>
      <c r="AM15" s="900">
        <v>19600</v>
      </c>
      <c r="AN15" s="907"/>
      <c r="AO15" s="908"/>
      <c r="AP15" s="907"/>
      <c r="AQ15" s="906">
        <f t="shared" si="5"/>
        <v>19600</v>
      </c>
      <c r="AR15" s="900"/>
      <c r="AS15" s="900"/>
      <c r="AT15" s="907"/>
      <c r="AU15" s="908"/>
      <c r="AV15" s="907"/>
      <c r="AW15" s="906">
        <f t="shared" si="6"/>
        <v>0</v>
      </c>
      <c r="AX15" s="900"/>
      <c r="AY15" s="900">
        <v>1432868</v>
      </c>
      <c r="AZ15" s="909"/>
      <c r="BA15" s="910"/>
      <c r="BB15" s="909"/>
      <c r="BC15" s="906">
        <f t="shared" si="7"/>
        <v>1432868</v>
      </c>
      <c r="BD15" s="900"/>
      <c r="BE15" s="900"/>
      <c r="BF15" s="909"/>
      <c r="BG15" s="908"/>
      <c r="BH15" s="907"/>
      <c r="BI15" s="906">
        <f t="shared" si="8"/>
        <v>0</v>
      </c>
      <c r="BJ15" s="900"/>
      <c r="BK15" s="900"/>
      <c r="BL15" s="907"/>
      <c r="BM15" s="908"/>
      <c r="BN15" s="909"/>
      <c r="BO15" s="906">
        <f t="shared" si="9"/>
        <v>0</v>
      </c>
      <c r="BP15" s="900"/>
      <c r="BQ15" s="900">
        <v>59673</v>
      </c>
      <c r="BR15" s="907"/>
      <c r="BS15" s="908"/>
      <c r="BT15" s="907"/>
      <c r="BU15" s="906">
        <f t="shared" si="10"/>
        <v>59673</v>
      </c>
      <c r="BV15" s="900"/>
      <c r="BW15" s="900"/>
      <c r="BX15" s="907"/>
      <c r="BY15" s="908"/>
      <c r="BZ15" s="907"/>
      <c r="CA15" s="906">
        <f t="shared" si="11"/>
        <v>0</v>
      </c>
      <c r="CB15" s="900"/>
      <c r="CC15" s="900"/>
      <c r="CD15" s="907"/>
      <c r="CE15" s="908"/>
      <c r="CF15" s="907"/>
      <c r="CG15" s="906">
        <f t="shared" si="12"/>
        <v>0</v>
      </c>
      <c r="CH15" s="900"/>
      <c r="CI15" s="900"/>
      <c r="CJ15" s="907"/>
      <c r="CK15" s="908"/>
      <c r="CL15" s="907"/>
      <c r="CM15" s="906">
        <f t="shared" si="13"/>
        <v>0</v>
      </c>
      <c r="CN15" s="900"/>
      <c r="CO15" s="900">
        <v>4947683</v>
      </c>
      <c r="CP15" s="907"/>
      <c r="CQ15" s="908"/>
      <c r="CR15" s="907"/>
      <c r="CS15" s="906">
        <f t="shared" si="14"/>
        <v>4947683</v>
      </c>
      <c r="CT15" s="900"/>
    </row>
    <row r="16" spans="2:98">
      <c r="B16" s="905" t="s">
        <v>398</v>
      </c>
      <c r="C16" s="900">
        <f t="shared" si="18"/>
        <v>18255462</v>
      </c>
      <c r="D16" s="900">
        <f t="shared" si="18"/>
        <v>199060</v>
      </c>
      <c r="E16" s="900">
        <f t="shared" si="18"/>
        <v>0</v>
      </c>
      <c r="F16" s="900">
        <f t="shared" si="18"/>
        <v>32150</v>
      </c>
      <c r="G16" s="906">
        <f t="shared" si="19"/>
        <v>18422372</v>
      </c>
      <c r="H16" s="900"/>
      <c r="I16" s="900">
        <v>10198492</v>
      </c>
      <c r="J16" s="907">
        <v>126900</v>
      </c>
      <c r="K16" s="908"/>
      <c r="L16" s="907"/>
      <c r="M16" s="906">
        <f t="shared" si="0"/>
        <v>10325392</v>
      </c>
      <c r="N16" s="900"/>
      <c r="O16" s="900">
        <v>270645</v>
      </c>
      <c r="P16" s="907"/>
      <c r="Q16" s="908"/>
      <c r="R16" s="907"/>
      <c r="S16" s="906">
        <f t="shared" si="1"/>
        <v>270645</v>
      </c>
      <c r="T16" s="900"/>
      <c r="U16" s="900">
        <v>292295</v>
      </c>
      <c r="V16" s="907"/>
      <c r="W16" s="908"/>
      <c r="X16" s="909">
        <v>19550</v>
      </c>
      <c r="Y16" s="906">
        <f t="shared" si="2"/>
        <v>272745</v>
      </c>
      <c r="Z16" s="900"/>
      <c r="AA16" s="900">
        <v>897807</v>
      </c>
      <c r="AB16" s="914"/>
      <c r="AC16" s="908"/>
      <c r="AD16" s="907"/>
      <c r="AE16" s="906">
        <f t="shared" si="3"/>
        <v>897807</v>
      </c>
      <c r="AF16" s="900"/>
      <c r="AG16" s="900"/>
      <c r="AH16" s="907"/>
      <c r="AI16" s="908"/>
      <c r="AJ16" s="907"/>
      <c r="AK16" s="906">
        <f t="shared" si="4"/>
        <v>0</v>
      </c>
      <c r="AL16" s="900"/>
      <c r="AM16" s="900">
        <v>42750</v>
      </c>
      <c r="AN16" s="907"/>
      <c r="AO16" s="908"/>
      <c r="AP16" s="907"/>
      <c r="AQ16" s="906">
        <f t="shared" si="5"/>
        <v>42750</v>
      </c>
      <c r="AR16" s="900"/>
      <c r="AS16" s="900"/>
      <c r="AT16" s="907"/>
      <c r="AU16" s="908"/>
      <c r="AV16" s="907"/>
      <c r="AW16" s="906">
        <f t="shared" si="6"/>
        <v>0</v>
      </c>
      <c r="AX16" s="900"/>
      <c r="AY16" s="900">
        <v>751385</v>
      </c>
      <c r="AZ16" s="909"/>
      <c r="BA16" s="910"/>
      <c r="BB16" s="909"/>
      <c r="BC16" s="906">
        <f t="shared" si="7"/>
        <v>751385</v>
      </c>
      <c r="BD16" s="900"/>
      <c r="BE16" s="900">
        <v>219879</v>
      </c>
      <c r="BF16" s="909"/>
      <c r="BG16" s="908"/>
      <c r="BH16" s="907"/>
      <c r="BI16" s="906">
        <f t="shared" si="8"/>
        <v>219879</v>
      </c>
      <c r="BJ16" s="900"/>
      <c r="BK16" s="900">
        <v>152039</v>
      </c>
      <c r="BL16" s="909"/>
      <c r="BM16" s="908"/>
      <c r="BN16" s="909"/>
      <c r="BO16" s="906">
        <f t="shared" si="9"/>
        <v>152039</v>
      </c>
      <c r="BP16" s="900"/>
      <c r="BQ16" s="900">
        <v>721057</v>
      </c>
      <c r="BR16" s="907"/>
      <c r="BS16" s="908"/>
      <c r="BT16" s="909">
        <v>12600</v>
      </c>
      <c r="BU16" s="906">
        <f t="shared" si="10"/>
        <v>708457</v>
      </c>
      <c r="BV16" s="900"/>
      <c r="BW16" s="900"/>
      <c r="BX16" s="907"/>
      <c r="BY16" s="908"/>
      <c r="BZ16" s="907"/>
      <c r="CA16" s="906">
        <f t="shared" si="11"/>
        <v>0</v>
      </c>
      <c r="CB16" s="900"/>
      <c r="CC16" s="900"/>
      <c r="CD16" s="907"/>
      <c r="CF16" s="907"/>
      <c r="CG16" s="906">
        <f t="shared" si="12"/>
        <v>0</v>
      </c>
      <c r="CH16" s="900"/>
      <c r="CI16" s="900">
        <v>36720</v>
      </c>
      <c r="CJ16" s="907">
        <v>72160</v>
      </c>
      <c r="CK16" s="908"/>
      <c r="CL16" s="907"/>
      <c r="CM16" s="906">
        <f t="shared" si="13"/>
        <v>108880</v>
      </c>
      <c r="CN16" s="900"/>
      <c r="CO16" s="900">
        <v>4672393</v>
      </c>
      <c r="CP16" s="907"/>
      <c r="CQ16" s="908"/>
      <c r="CR16" s="907"/>
      <c r="CS16" s="906">
        <f t="shared" si="14"/>
        <v>4672393</v>
      </c>
      <c r="CT16" s="900"/>
    </row>
    <row r="17" spans="2:98">
      <c r="B17" s="905" t="s">
        <v>399</v>
      </c>
      <c r="C17" s="900">
        <f>I17+O17+U17+AA17+AG17+AM17+AS17+AY17+BE17+BK17+BQ17+BW17+CC17+CI17+CO17</f>
        <v>3579962</v>
      </c>
      <c r="D17" s="900">
        <f t="shared" si="18"/>
        <v>0</v>
      </c>
      <c r="E17" s="900">
        <f t="shared" si="18"/>
        <v>0</v>
      </c>
      <c r="F17" s="900">
        <f t="shared" si="18"/>
        <v>0</v>
      </c>
      <c r="G17" s="906">
        <f t="shared" si="19"/>
        <v>3579962</v>
      </c>
      <c r="H17" s="900"/>
      <c r="I17" s="900">
        <v>401956</v>
      </c>
      <c r="J17" s="907"/>
      <c r="K17" s="908"/>
      <c r="L17" s="907"/>
      <c r="M17" s="906">
        <f t="shared" si="0"/>
        <v>401956</v>
      </c>
      <c r="N17" s="900"/>
      <c r="O17" s="900">
        <v>34193</v>
      </c>
      <c r="P17" s="907"/>
      <c r="Q17" s="908"/>
      <c r="R17" s="907"/>
      <c r="S17" s="906">
        <f t="shared" si="1"/>
        <v>34193</v>
      </c>
      <c r="T17" s="900"/>
      <c r="U17" s="900"/>
      <c r="V17" s="907"/>
      <c r="W17" s="908"/>
      <c r="X17" s="907"/>
      <c r="Y17" s="906">
        <f t="shared" si="2"/>
        <v>0</v>
      </c>
      <c r="Z17" s="900"/>
      <c r="AA17" s="900"/>
      <c r="AB17" s="914"/>
      <c r="AC17" s="908"/>
      <c r="AD17" s="907"/>
      <c r="AE17" s="906">
        <f t="shared" si="3"/>
        <v>0</v>
      </c>
      <c r="AF17" s="900"/>
      <c r="AG17" s="900"/>
      <c r="AH17" s="907"/>
      <c r="AI17" s="908"/>
      <c r="AJ17" s="907"/>
      <c r="AK17" s="906">
        <f t="shared" si="4"/>
        <v>0</v>
      </c>
      <c r="AL17" s="900"/>
      <c r="AM17" s="900"/>
      <c r="AN17" s="907"/>
      <c r="AO17" s="908"/>
      <c r="AP17" s="907"/>
      <c r="AQ17" s="906">
        <f t="shared" si="5"/>
        <v>0</v>
      </c>
      <c r="AR17" s="900"/>
      <c r="AS17" s="900"/>
      <c r="AT17" s="907"/>
      <c r="AU17" s="908"/>
      <c r="AV17" s="907"/>
      <c r="AW17" s="906">
        <f t="shared" si="6"/>
        <v>0</v>
      </c>
      <c r="AX17" s="900"/>
      <c r="AY17" s="900">
        <v>511425</v>
      </c>
      <c r="AZ17" s="909"/>
      <c r="BA17" s="910"/>
      <c r="BB17" s="909"/>
      <c r="BC17" s="906">
        <f t="shared" si="7"/>
        <v>511425</v>
      </c>
      <c r="BD17" s="900"/>
      <c r="BE17" s="900"/>
      <c r="BF17" s="909"/>
      <c r="BG17" s="908"/>
      <c r="BH17" s="907"/>
      <c r="BI17" s="906">
        <f t="shared" si="8"/>
        <v>0</v>
      </c>
      <c r="BJ17" s="900"/>
      <c r="BK17" s="900"/>
      <c r="BL17" s="909"/>
      <c r="BM17" s="908"/>
      <c r="BN17" s="909"/>
      <c r="BO17" s="906">
        <f t="shared" si="9"/>
        <v>0</v>
      </c>
      <c r="BP17" s="900"/>
      <c r="BQ17" s="900">
        <v>175104</v>
      </c>
      <c r="BR17" s="907"/>
      <c r="BS17" s="908"/>
      <c r="BT17" s="909"/>
      <c r="BU17" s="906">
        <f t="shared" si="10"/>
        <v>175104</v>
      </c>
      <c r="BV17" s="900"/>
      <c r="BW17" s="900"/>
      <c r="BX17" s="907"/>
      <c r="BY17" s="908"/>
      <c r="BZ17" s="907"/>
      <c r="CA17" s="906">
        <f t="shared" si="11"/>
        <v>0</v>
      </c>
      <c r="CB17" s="900"/>
      <c r="CC17" s="900"/>
      <c r="CD17" s="907"/>
      <c r="CF17" s="907"/>
      <c r="CG17" s="906">
        <f t="shared" si="12"/>
        <v>0</v>
      </c>
      <c r="CH17" s="900"/>
      <c r="CI17" s="900"/>
      <c r="CJ17" s="907"/>
      <c r="CK17" s="908"/>
      <c r="CL17" s="907"/>
      <c r="CM17" s="906">
        <f t="shared" si="13"/>
        <v>0</v>
      </c>
      <c r="CN17" s="900"/>
      <c r="CO17" s="900">
        <v>2457284</v>
      </c>
      <c r="CP17" s="907"/>
      <c r="CQ17" s="908"/>
      <c r="CR17" s="907"/>
      <c r="CS17" s="906">
        <f t="shared" si="14"/>
        <v>2457284</v>
      </c>
      <c r="CT17" s="900"/>
    </row>
    <row r="18" spans="2:98">
      <c r="B18" s="905" t="s">
        <v>400</v>
      </c>
      <c r="C18" s="900">
        <f>I18+O18+U18+AA18+AG18+AM18+AS18+AY18+BE18+BK18+BQ18+BW18+CC18+CI18+CO18</f>
        <v>12237919</v>
      </c>
      <c r="D18" s="900">
        <f t="shared" si="18"/>
        <v>446193</v>
      </c>
      <c r="E18" s="900">
        <f t="shared" si="18"/>
        <v>-59233</v>
      </c>
      <c r="F18" s="900">
        <f t="shared" si="18"/>
        <v>80542</v>
      </c>
      <c r="G18" s="906">
        <f t="shared" si="19"/>
        <v>12544337</v>
      </c>
      <c r="H18" s="900"/>
      <c r="I18" s="912">
        <v>9600645</v>
      </c>
      <c r="J18" s="907"/>
      <c r="K18" s="908"/>
      <c r="L18" s="907"/>
      <c r="M18" s="906">
        <f t="shared" si="0"/>
        <v>9600645</v>
      </c>
      <c r="N18" s="900"/>
      <c r="O18" s="900">
        <v>59233</v>
      </c>
      <c r="P18" s="907"/>
      <c r="Q18" s="908">
        <v>-59233</v>
      </c>
      <c r="R18" s="907"/>
      <c r="S18" s="906">
        <f t="shared" si="1"/>
        <v>0</v>
      </c>
      <c r="T18" s="900"/>
      <c r="U18" s="900"/>
      <c r="V18" s="907"/>
      <c r="W18" s="908"/>
      <c r="X18" s="907"/>
      <c r="Y18" s="906">
        <f t="shared" si="2"/>
        <v>0</v>
      </c>
      <c r="Z18" s="900"/>
      <c r="AA18" s="900"/>
      <c r="AB18" s="914"/>
      <c r="AC18" s="908"/>
      <c r="AD18" s="907"/>
      <c r="AE18" s="906">
        <f t="shared" si="3"/>
        <v>0</v>
      </c>
      <c r="AF18" s="900"/>
      <c r="AG18" s="900"/>
      <c r="AH18" s="907"/>
      <c r="AI18" s="908"/>
      <c r="AJ18" s="907"/>
      <c r="AK18" s="906">
        <f t="shared" si="4"/>
        <v>0</v>
      </c>
      <c r="AL18" s="900"/>
      <c r="AM18" s="900"/>
      <c r="AN18" s="907"/>
      <c r="AO18" s="908"/>
      <c r="AP18" s="907"/>
      <c r="AQ18" s="906">
        <f t="shared" si="5"/>
        <v>0</v>
      </c>
      <c r="AR18" s="900"/>
      <c r="AS18" s="900"/>
      <c r="AT18" s="907"/>
      <c r="AU18" s="908"/>
      <c r="AV18" s="907"/>
      <c r="AW18" s="906">
        <f t="shared" si="6"/>
        <v>0</v>
      </c>
      <c r="AX18" s="900"/>
      <c r="AY18" s="900"/>
      <c r="AZ18" s="909"/>
      <c r="BA18" s="910"/>
      <c r="BB18" s="909"/>
      <c r="BC18" s="906">
        <f t="shared" si="7"/>
        <v>0</v>
      </c>
      <c r="BD18" s="900"/>
      <c r="BE18" s="900">
        <v>23344</v>
      </c>
      <c r="BF18" s="909"/>
      <c r="BG18" s="908"/>
      <c r="BH18" s="907"/>
      <c r="BI18" s="906">
        <f t="shared" si="8"/>
        <v>23344</v>
      </c>
      <c r="BJ18" s="900"/>
      <c r="BK18" s="900">
        <v>39390</v>
      </c>
      <c r="BL18" s="909"/>
      <c r="BM18" s="908"/>
      <c r="BN18" s="909"/>
      <c r="BO18" s="906">
        <f t="shared" si="9"/>
        <v>39390</v>
      </c>
      <c r="BP18" s="900"/>
      <c r="BQ18" s="900">
        <v>923107</v>
      </c>
      <c r="BR18" s="909">
        <v>446193</v>
      </c>
      <c r="BS18" s="908"/>
      <c r="BT18" s="909">
        <v>80542</v>
      </c>
      <c r="BU18" s="906">
        <f t="shared" si="10"/>
        <v>1288758</v>
      </c>
      <c r="BV18" s="900"/>
      <c r="BW18" s="900"/>
      <c r="BX18" s="907"/>
      <c r="BY18" s="908"/>
      <c r="BZ18" s="907"/>
      <c r="CA18" s="906">
        <f t="shared" si="11"/>
        <v>0</v>
      </c>
      <c r="CB18" s="900"/>
      <c r="CC18" s="900"/>
      <c r="CD18" s="907"/>
      <c r="CF18" s="907"/>
      <c r="CG18" s="906">
        <f t="shared" si="12"/>
        <v>0</v>
      </c>
      <c r="CH18" s="900"/>
      <c r="CI18" s="900">
        <v>357505</v>
      </c>
      <c r="CJ18" s="907"/>
      <c r="CK18" s="908"/>
      <c r="CL18" s="909"/>
      <c r="CM18" s="906">
        <f t="shared" si="13"/>
        <v>357505</v>
      </c>
      <c r="CN18" s="900"/>
      <c r="CO18" s="900">
        <v>1234695</v>
      </c>
      <c r="CP18" s="907"/>
      <c r="CQ18" s="908"/>
      <c r="CR18" s="907"/>
      <c r="CS18" s="906">
        <f t="shared" si="14"/>
        <v>1234695</v>
      </c>
      <c r="CT18" s="900"/>
    </row>
    <row r="19" spans="2:98">
      <c r="B19" s="911" t="s">
        <v>913</v>
      </c>
      <c r="C19" s="900">
        <f>I19+O19+U19+AA19+AG19+AM19+AS19+AY19+BE19+BK19+BQ19+BW19+CC19+CI19+CO19</f>
        <v>796244522</v>
      </c>
      <c r="D19" s="900">
        <f t="shared" si="18"/>
        <v>660020</v>
      </c>
      <c r="E19" s="900">
        <f t="shared" si="18"/>
        <v>0</v>
      </c>
      <c r="F19" s="900">
        <f t="shared" si="18"/>
        <v>1915893</v>
      </c>
      <c r="G19" s="906">
        <f t="shared" si="19"/>
        <v>794988649</v>
      </c>
      <c r="H19" s="900"/>
      <c r="I19" s="900"/>
      <c r="J19" s="907"/>
      <c r="K19" s="908"/>
      <c r="L19" s="907"/>
      <c r="M19" s="906">
        <f t="shared" si="0"/>
        <v>0</v>
      </c>
      <c r="N19" s="900"/>
      <c r="O19" s="900">
        <v>689531884</v>
      </c>
      <c r="P19" s="907"/>
      <c r="Q19" s="908"/>
      <c r="R19" s="907"/>
      <c r="S19" s="906">
        <f t="shared" si="1"/>
        <v>689531884</v>
      </c>
      <c r="T19" s="900"/>
      <c r="U19" s="900">
        <v>3420440</v>
      </c>
      <c r="V19" s="907"/>
      <c r="W19" s="908"/>
      <c r="X19" s="907">
        <v>1884659</v>
      </c>
      <c r="Y19" s="906">
        <f t="shared" si="2"/>
        <v>1535781</v>
      </c>
      <c r="Z19" s="900"/>
      <c r="AA19" s="900"/>
      <c r="AB19" s="914"/>
      <c r="AC19" s="908"/>
      <c r="AD19" s="907"/>
      <c r="AE19" s="906">
        <f t="shared" si="3"/>
        <v>0</v>
      </c>
      <c r="AF19" s="900"/>
      <c r="AG19" s="900"/>
      <c r="AH19" s="907"/>
      <c r="AI19" s="908"/>
      <c r="AJ19" s="907"/>
      <c r="AK19" s="906">
        <f t="shared" si="4"/>
        <v>0</v>
      </c>
      <c r="AL19" s="900"/>
      <c r="AM19" s="900">
        <v>2966584</v>
      </c>
      <c r="AN19" s="907">
        <v>250000</v>
      </c>
      <c r="AO19" s="908"/>
      <c r="AP19" s="907"/>
      <c r="AQ19" s="906">
        <f t="shared" si="5"/>
        <v>3216584</v>
      </c>
      <c r="AR19" s="900"/>
      <c r="AS19" s="900"/>
      <c r="AT19" s="907"/>
      <c r="AU19" s="908"/>
      <c r="AV19" s="907"/>
      <c r="AW19" s="906">
        <f t="shared" si="6"/>
        <v>0</v>
      </c>
      <c r="AX19" s="900"/>
      <c r="AY19" s="900">
        <v>7412941</v>
      </c>
      <c r="AZ19" s="909"/>
      <c r="BA19" s="910"/>
      <c r="BB19" s="909"/>
      <c r="BC19" s="906">
        <f t="shared" si="7"/>
        <v>7412941</v>
      </c>
      <c r="BD19" s="900"/>
      <c r="BE19" s="900">
        <v>9875624</v>
      </c>
      <c r="BF19" s="909"/>
      <c r="BG19" s="908"/>
      <c r="BH19" s="909">
        <v>31234</v>
      </c>
      <c r="BI19" s="906">
        <f t="shared" si="8"/>
        <v>9844390</v>
      </c>
      <c r="BJ19" s="900"/>
      <c r="BK19" s="900">
        <v>8822454</v>
      </c>
      <c r="BL19" s="909"/>
      <c r="BM19" s="908"/>
      <c r="BN19" s="909"/>
      <c r="BO19" s="906">
        <f t="shared" si="9"/>
        <v>8822454</v>
      </c>
      <c r="BP19" s="900"/>
      <c r="BQ19" s="900">
        <v>324342</v>
      </c>
      <c r="BR19" s="907"/>
      <c r="BS19" s="908"/>
      <c r="BT19" s="907"/>
      <c r="BU19" s="906">
        <f t="shared" si="10"/>
        <v>324342</v>
      </c>
      <c r="BV19" s="900"/>
      <c r="BW19" s="900">
        <v>20220570</v>
      </c>
      <c r="BX19" s="907">
        <v>410020</v>
      </c>
      <c r="BY19" s="908"/>
      <c r="BZ19" s="907"/>
      <c r="CA19" s="906">
        <f t="shared" si="11"/>
        <v>20630590</v>
      </c>
      <c r="CB19" s="900"/>
      <c r="CC19" s="900"/>
      <c r="CD19" s="909"/>
      <c r="CF19" s="909"/>
      <c r="CG19" s="906">
        <f t="shared" si="12"/>
        <v>0</v>
      </c>
      <c r="CH19" s="900"/>
      <c r="CI19" s="900">
        <v>80555</v>
      </c>
      <c r="CJ19" s="907"/>
      <c r="CK19" s="908"/>
      <c r="CL19" s="909"/>
      <c r="CM19" s="906">
        <f t="shared" si="13"/>
        <v>80555</v>
      </c>
      <c r="CN19" s="900"/>
      <c r="CO19" s="900">
        <v>53589128</v>
      </c>
      <c r="CP19" s="907"/>
      <c r="CQ19" s="908"/>
      <c r="CR19" s="907"/>
      <c r="CS19" s="906">
        <f t="shared" si="14"/>
        <v>53589128</v>
      </c>
      <c r="CT19" s="900"/>
    </row>
    <row r="20" spans="2:98">
      <c r="B20" s="911" t="s">
        <v>914</v>
      </c>
      <c r="C20" s="900"/>
      <c r="D20" s="900"/>
      <c r="E20" s="900"/>
      <c r="F20" s="900">
        <f t="shared" si="18"/>
        <v>0</v>
      </c>
      <c r="G20" s="906">
        <f t="shared" si="19"/>
        <v>0</v>
      </c>
      <c r="H20" s="900"/>
      <c r="I20" s="900"/>
      <c r="J20" s="907"/>
      <c r="K20" s="908"/>
      <c r="L20" s="907"/>
      <c r="M20" s="906">
        <f t="shared" si="0"/>
        <v>0</v>
      </c>
      <c r="N20" s="900"/>
      <c r="O20" s="900"/>
      <c r="P20" s="907"/>
      <c r="Q20" s="908"/>
      <c r="R20" s="907"/>
      <c r="S20" s="906">
        <f t="shared" si="1"/>
        <v>0</v>
      </c>
      <c r="T20" s="900"/>
      <c r="U20" s="900"/>
      <c r="V20" s="907"/>
      <c r="W20" s="908"/>
      <c r="X20" s="907"/>
      <c r="Y20" s="906">
        <f t="shared" si="2"/>
        <v>0</v>
      </c>
      <c r="Z20" s="900"/>
      <c r="AA20" s="900"/>
      <c r="AB20" s="914"/>
      <c r="AC20" s="908"/>
      <c r="AD20" s="907"/>
      <c r="AE20" s="906">
        <f t="shared" si="3"/>
        <v>0</v>
      </c>
      <c r="AF20" s="900"/>
      <c r="AG20" s="900"/>
      <c r="AH20" s="907"/>
      <c r="AI20" s="908"/>
      <c r="AJ20" s="907"/>
      <c r="AK20" s="906">
        <f t="shared" si="4"/>
        <v>0</v>
      </c>
      <c r="AL20" s="900"/>
      <c r="AM20" s="900"/>
      <c r="AN20" s="907"/>
      <c r="AO20" s="908"/>
      <c r="AP20" s="907"/>
      <c r="AQ20" s="906">
        <f t="shared" si="5"/>
        <v>0</v>
      </c>
      <c r="AR20" s="900"/>
      <c r="AS20" s="900"/>
      <c r="AT20" s="907"/>
      <c r="AU20" s="908"/>
      <c r="AV20" s="907"/>
      <c r="AW20" s="906">
        <f t="shared" si="6"/>
        <v>0</v>
      </c>
      <c r="AX20" s="900"/>
      <c r="AY20" s="900"/>
      <c r="AZ20" s="909"/>
      <c r="BA20" s="910"/>
      <c r="BB20" s="909"/>
      <c r="BC20" s="906">
        <f t="shared" si="7"/>
        <v>0</v>
      </c>
      <c r="BD20" s="900"/>
      <c r="BE20" s="900"/>
      <c r="BF20" s="909"/>
      <c r="BG20" s="908"/>
      <c r="BH20" s="909"/>
      <c r="BI20" s="906">
        <f t="shared" si="8"/>
        <v>0</v>
      </c>
      <c r="BJ20" s="900"/>
      <c r="BK20" s="900"/>
      <c r="BL20" s="909"/>
      <c r="BM20" s="908"/>
      <c r="BN20" s="909"/>
      <c r="BO20" s="906">
        <f t="shared" si="9"/>
        <v>0</v>
      </c>
      <c r="BP20" s="900"/>
      <c r="BQ20" s="900"/>
      <c r="BR20" s="907"/>
      <c r="BS20" s="908"/>
      <c r="BT20" s="907"/>
      <c r="BU20" s="906">
        <f t="shared" si="10"/>
        <v>0</v>
      </c>
      <c r="BV20" s="900"/>
      <c r="BW20" s="900"/>
      <c r="BX20" s="907"/>
      <c r="BY20" s="908"/>
      <c r="BZ20" s="907"/>
      <c r="CA20" s="906">
        <f t="shared" si="11"/>
        <v>0</v>
      </c>
      <c r="CB20" s="900"/>
      <c r="CC20" s="900"/>
      <c r="CD20" s="909"/>
      <c r="CF20" s="909"/>
      <c r="CG20" s="906">
        <f t="shared" si="12"/>
        <v>0</v>
      </c>
      <c r="CH20" s="900"/>
      <c r="CI20" s="900"/>
      <c r="CJ20" s="907"/>
      <c r="CK20" s="908"/>
      <c r="CL20" s="909"/>
      <c r="CM20" s="906">
        <f t="shared" si="13"/>
        <v>0</v>
      </c>
      <c r="CN20" s="900"/>
      <c r="CO20" s="900"/>
      <c r="CP20" s="907"/>
      <c r="CQ20" s="908"/>
      <c r="CR20" s="907"/>
      <c r="CS20" s="906">
        <f t="shared" si="14"/>
        <v>0</v>
      </c>
      <c r="CT20" s="900"/>
    </row>
    <row r="21" spans="2:98">
      <c r="B21" s="905" t="s">
        <v>401</v>
      </c>
      <c r="C21" s="900">
        <f>I21+O21+U21+AA21+AG21+AM21+AS21+AY21+BE21+BK21+BQ21+BW21+CC21+CI21+CO21</f>
        <v>23414961</v>
      </c>
      <c r="D21" s="900">
        <f t="shared" si="18"/>
        <v>212668</v>
      </c>
      <c r="E21" s="900">
        <f t="shared" si="18"/>
        <v>1167741</v>
      </c>
      <c r="F21" s="900">
        <f t="shared" si="18"/>
        <v>36195</v>
      </c>
      <c r="G21" s="906">
        <f t="shared" si="19"/>
        <v>24759175</v>
      </c>
      <c r="H21" s="900"/>
      <c r="I21" s="900">
        <v>14914264</v>
      </c>
      <c r="J21" s="907"/>
      <c r="K21" s="908">
        <v>1167741</v>
      </c>
      <c r="L21" s="907"/>
      <c r="M21" s="906">
        <f t="shared" si="0"/>
        <v>16082005</v>
      </c>
      <c r="N21" s="900"/>
      <c r="O21" s="900">
        <v>449437</v>
      </c>
      <c r="P21" s="909"/>
      <c r="Q21" s="908"/>
      <c r="R21" s="907"/>
      <c r="S21" s="906">
        <f t="shared" si="1"/>
        <v>449437</v>
      </c>
      <c r="T21" s="900"/>
      <c r="U21" s="900">
        <v>832484</v>
      </c>
      <c r="V21" s="907"/>
      <c r="W21" s="908"/>
      <c r="X21" s="907"/>
      <c r="Y21" s="906">
        <f t="shared" si="2"/>
        <v>832484</v>
      </c>
      <c r="Z21" s="900"/>
      <c r="AA21" s="900">
        <v>3008138</v>
      </c>
      <c r="AB21" s="914"/>
      <c r="AC21" s="908"/>
      <c r="AD21" s="907"/>
      <c r="AE21" s="906">
        <f t="shared" si="3"/>
        <v>3008138</v>
      </c>
      <c r="AF21" s="900"/>
      <c r="AG21" s="900"/>
      <c r="AH21" s="907"/>
      <c r="AI21" s="908"/>
      <c r="AJ21" s="907"/>
      <c r="AK21" s="906">
        <f t="shared" si="4"/>
        <v>0</v>
      </c>
      <c r="AL21" s="900"/>
      <c r="AM21" s="900">
        <v>458283</v>
      </c>
      <c r="AN21" s="907"/>
      <c r="AO21" s="908"/>
      <c r="AP21" s="907"/>
      <c r="AQ21" s="906">
        <f t="shared" si="5"/>
        <v>458283</v>
      </c>
      <c r="AR21" s="900"/>
      <c r="AS21" s="900">
        <v>540785</v>
      </c>
      <c r="AT21" s="909"/>
      <c r="AU21" s="908"/>
      <c r="AV21" s="907"/>
      <c r="AW21" s="906">
        <f t="shared" si="6"/>
        <v>540785</v>
      </c>
      <c r="AX21" s="900"/>
      <c r="AY21" s="900">
        <v>859980</v>
      </c>
      <c r="AZ21" s="909"/>
      <c r="BA21" s="910"/>
      <c r="BB21" s="909"/>
      <c r="BC21" s="906">
        <f t="shared" si="7"/>
        <v>859980</v>
      </c>
      <c r="BD21" s="900"/>
      <c r="BE21" s="900"/>
      <c r="BF21" s="909"/>
      <c r="BG21" s="908"/>
      <c r="BH21" s="909"/>
      <c r="BI21" s="906">
        <f t="shared" si="8"/>
        <v>0</v>
      </c>
      <c r="BJ21" s="900"/>
      <c r="BK21" s="900">
        <v>950050</v>
      </c>
      <c r="BL21" s="909">
        <v>212668</v>
      </c>
      <c r="BM21" s="908"/>
      <c r="BN21" s="909">
        <v>36195</v>
      </c>
      <c r="BO21" s="906">
        <f t="shared" si="9"/>
        <v>1126523</v>
      </c>
      <c r="BP21" s="900"/>
      <c r="BQ21" s="900">
        <v>111372</v>
      </c>
      <c r="BR21" s="907"/>
      <c r="BS21" s="908"/>
      <c r="BT21" s="907"/>
      <c r="BU21" s="906">
        <f t="shared" si="10"/>
        <v>111372</v>
      </c>
      <c r="BV21" s="900"/>
      <c r="BW21" s="900">
        <v>912467</v>
      </c>
      <c r="BX21" s="907"/>
      <c r="BY21" s="908"/>
      <c r="BZ21" s="907"/>
      <c r="CA21" s="906">
        <f t="shared" si="11"/>
        <v>912467</v>
      </c>
      <c r="CB21" s="900"/>
      <c r="CC21" s="900"/>
      <c r="CD21" s="909"/>
      <c r="CF21" s="909"/>
      <c r="CG21" s="906">
        <f t="shared" si="12"/>
        <v>0</v>
      </c>
      <c r="CH21" s="900"/>
      <c r="CI21" s="900">
        <v>377701</v>
      </c>
      <c r="CJ21" s="907"/>
      <c r="CK21" s="908"/>
      <c r="CL21" s="909"/>
      <c r="CM21" s="906">
        <f t="shared" si="13"/>
        <v>377701</v>
      </c>
      <c r="CN21" s="900"/>
      <c r="CO21" s="900"/>
      <c r="CP21" s="907"/>
      <c r="CQ21" s="908"/>
      <c r="CR21" s="907"/>
      <c r="CS21" s="906">
        <f t="shared" si="14"/>
        <v>0</v>
      </c>
      <c r="CT21" s="900"/>
    </row>
    <row r="22" spans="2:98">
      <c r="B22" s="905" t="s">
        <v>402</v>
      </c>
      <c r="C22" s="900">
        <f>I22+O22+U22+AA22+AG22+AM22+AS22+AY22+BE22+BK22+BQ22+BW22+CC22+CI22+CO22</f>
        <v>50539356</v>
      </c>
      <c r="D22" s="900">
        <f t="shared" si="18"/>
        <v>941271</v>
      </c>
      <c r="E22" s="900">
        <f t="shared" si="18"/>
        <v>-2160563</v>
      </c>
      <c r="F22" s="900">
        <f t="shared" si="18"/>
        <v>151383</v>
      </c>
      <c r="G22" s="906">
        <f t="shared" si="19"/>
        <v>49168681</v>
      </c>
      <c r="H22" s="900"/>
      <c r="I22" s="900">
        <v>11949734</v>
      </c>
      <c r="J22" s="907">
        <v>352024</v>
      </c>
      <c r="K22" s="908">
        <v>-2160563</v>
      </c>
      <c r="L22" s="907">
        <v>103222</v>
      </c>
      <c r="M22" s="906">
        <f t="shared" si="0"/>
        <v>10037973</v>
      </c>
      <c r="N22" s="900"/>
      <c r="O22" s="900">
        <v>3702368</v>
      </c>
      <c r="P22" s="909">
        <v>29640</v>
      </c>
      <c r="Q22" s="908"/>
      <c r="R22" s="907"/>
      <c r="S22" s="906">
        <f t="shared" si="1"/>
        <v>3732008</v>
      </c>
      <c r="T22" s="900"/>
      <c r="U22" s="900">
        <v>2324030</v>
      </c>
      <c r="V22" s="907">
        <v>94700</v>
      </c>
      <c r="W22" s="908"/>
      <c r="X22" s="909">
        <v>22198</v>
      </c>
      <c r="Y22" s="906">
        <f t="shared" si="2"/>
        <v>2396532</v>
      </c>
      <c r="Z22" s="900"/>
      <c r="AA22" s="900">
        <v>976886</v>
      </c>
      <c r="AB22" s="914">
        <v>44348</v>
      </c>
      <c r="AC22" s="908"/>
      <c r="AD22" s="907"/>
      <c r="AE22" s="906">
        <f t="shared" si="3"/>
        <v>1021234</v>
      </c>
      <c r="AF22" s="900"/>
      <c r="AG22" s="900"/>
      <c r="AH22" s="909"/>
      <c r="AI22" s="908"/>
      <c r="AJ22" s="909"/>
      <c r="AK22" s="906">
        <f t="shared" si="4"/>
        <v>0</v>
      </c>
      <c r="AL22" s="900"/>
      <c r="AM22" s="900">
        <v>9617133</v>
      </c>
      <c r="AN22" s="909"/>
      <c r="AO22" s="910"/>
      <c r="AP22" s="909"/>
      <c r="AQ22" s="906">
        <f t="shared" si="5"/>
        <v>9617133</v>
      </c>
      <c r="AR22" s="900"/>
      <c r="AS22" s="900">
        <v>4297415</v>
      </c>
      <c r="AT22" s="909"/>
      <c r="AU22" s="908"/>
      <c r="AV22" s="907"/>
      <c r="AW22" s="906">
        <f t="shared" si="6"/>
        <v>4297415</v>
      </c>
      <c r="AX22" s="900"/>
      <c r="AY22" s="900">
        <v>4552658</v>
      </c>
      <c r="AZ22" s="909">
        <v>100788</v>
      </c>
      <c r="BA22" s="910"/>
      <c r="BB22" s="909"/>
      <c r="BC22" s="906">
        <f t="shared" si="7"/>
        <v>4653446</v>
      </c>
      <c r="BD22" s="900"/>
      <c r="BE22" s="900">
        <v>2670692</v>
      </c>
      <c r="BF22" s="909">
        <v>247000</v>
      </c>
      <c r="BG22" s="908"/>
      <c r="BH22" s="909">
        <v>10140</v>
      </c>
      <c r="BI22" s="906">
        <f t="shared" si="8"/>
        <v>2907552</v>
      </c>
      <c r="BJ22" s="900"/>
      <c r="BK22" s="900">
        <v>839018</v>
      </c>
      <c r="BL22" s="909">
        <v>68271</v>
      </c>
      <c r="BM22" s="908"/>
      <c r="BN22" s="909">
        <v>15823</v>
      </c>
      <c r="BO22" s="906">
        <f t="shared" si="9"/>
        <v>891466</v>
      </c>
      <c r="BP22" s="900"/>
      <c r="BQ22" s="900">
        <v>1568451</v>
      </c>
      <c r="BR22" s="909">
        <v>1800</v>
      </c>
      <c r="BS22" s="907"/>
      <c r="BT22" s="907"/>
      <c r="BU22" s="906">
        <f t="shared" si="10"/>
        <v>1570251</v>
      </c>
      <c r="BV22" s="900"/>
      <c r="BW22" s="900">
        <v>4214451</v>
      </c>
      <c r="BX22" s="907"/>
      <c r="BY22" s="908"/>
      <c r="BZ22" s="909"/>
      <c r="CA22" s="906">
        <f t="shared" si="11"/>
        <v>4214451</v>
      </c>
      <c r="CB22" s="900"/>
      <c r="CC22" s="900"/>
      <c r="CD22" s="909"/>
      <c r="CF22" s="909"/>
      <c r="CG22" s="906">
        <f t="shared" si="12"/>
        <v>0</v>
      </c>
      <c r="CH22" s="900"/>
      <c r="CI22" s="900">
        <v>2130649</v>
      </c>
      <c r="CJ22" s="907">
        <v>2700</v>
      </c>
      <c r="CK22" s="908"/>
      <c r="CL22" s="909"/>
      <c r="CM22" s="906">
        <f t="shared" si="13"/>
        <v>2133349</v>
      </c>
      <c r="CN22" s="900"/>
      <c r="CO22" s="900">
        <v>1695871</v>
      </c>
      <c r="CP22" s="907"/>
      <c r="CQ22" s="908"/>
      <c r="CR22" s="907"/>
      <c r="CS22" s="906">
        <f t="shared" si="14"/>
        <v>1695871</v>
      </c>
      <c r="CT22" s="900"/>
    </row>
    <row r="23" spans="2:98">
      <c r="B23" s="911" t="s">
        <v>915</v>
      </c>
      <c r="C23" s="900">
        <f>I23+O23+U23+AA23+AG23+AM23+AS23+AY23+BE23+BK23+BQ23+BW23+CC23+CI23+CO23</f>
        <v>21576938</v>
      </c>
      <c r="D23" s="900">
        <f t="shared" si="18"/>
        <v>0</v>
      </c>
      <c r="E23" s="900">
        <f t="shared" si="18"/>
        <v>0</v>
      </c>
      <c r="F23" s="900">
        <f t="shared" si="18"/>
        <v>551683</v>
      </c>
      <c r="G23" s="906">
        <f t="shared" si="19"/>
        <v>21025255</v>
      </c>
      <c r="H23" s="900"/>
      <c r="I23" s="900">
        <v>10967009</v>
      </c>
      <c r="J23" s="907"/>
      <c r="K23" s="908"/>
      <c r="L23" s="907"/>
      <c r="M23" s="906">
        <f>+I23+J23+K23-L23</f>
        <v>10967009</v>
      </c>
      <c r="N23" s="900"/>
      <c r="O23" s="900">
        <v>734994</v>
      </c>
      <c r="P23" s="914"/>
      <c r="Q23" s="908"/>
      <c r="R23" s="907"/>
      <c r="S23" s="906">
        <f t="shared" si="1"/>
        <v>734994</v>
      </c>
      <c r="T23" s="900"/>
      <c r="U23" s="900">
        <v>679097</v>
      </c>
      <c r="V23" s="907"/>
      <c r="W23" s="908"/>
      <c r="X23" s="907"/>
      <c r="Y23" s="906">
        <f t="shared" si="2"/>
        <v>679097</v>
      </c>
      <c r="Z23" s="900"/>
      <c r="AA23" s="900">
        <v>586850</v>
      </c>
      <c r="AB23" s="914"/>
      <c r="AC23" s="908"/>
      <c r="AD23" s="907"/>
      <c r="AE23" s="906">
        <f t="shared" si="3"/>
        <v>586850</v>
      </c>
      <c r="AF23" s="900"/>
      <c r="AG23" s="900"/>
      <c r="AH23" s="907"/>
      <c r="AI23" s="908"/>
      <c r="AJ23" s="907"/>
      <c r="AK23" s="906">
        <f t="shared" si="4"/>
        <v>0</v>
      </c>
      <c r="AL23" s="900"/>
      <c r="AM23" s="900">
        <v>1343304</v>
      </c>
      <c r="AN23" s="907"/>
      <c r="AO23" s="910"/>
      <c r="AP23" s="909"/>
      <c r="AQ23" s="906">
        <f t="shared" si="5"/>
        <v>1343304</v>
      </c>
      <c r="AR23" s="900"/>
      <c r="AS23" s="900">
        <v>1214668</v>
      </c>
      <c r="AT23" s="909"/>
      <c r="AU23" s="908"/>
      <c r="AV23" s="907">
        <v>550000</v>
      </c>
      <c r="AW23" s="906">
        <f t="shared" si="6"/>
        <v>664668</v>
      </c>
      <c r="AX23" s="900"/>
      <c r="AY23" s="900">
        <v>2020757</v>
      </c>
      <c r="AZ23" s="909"/>
      <c r="BA23" s="910"/>
      <c r="BB23" s="909"/>
      <c r="BC23" s="906">
        <f t="shared" si="7"/>
        <v>2020757</v>
      </c>
      <c r="BD23" s="900"/>
      <c r="BE23" s="900">
        <v>991555</v>
      </c>
      <c r="BF23" s="909"/>
      <c r="BG23" s="908"/>
      <c r="BH23" s="909"/>
      <c r="BI23" s="906">
        <f t="shared" si="8"/>
        <v>991555</v>
      </c>
      <c r="BJ23" s="900"/>
      <c r="BK23" s="900">
        <v>536449</v>
      </c>
      <c r="BL23" s="909"/>
      <c r="BM23" s="908"/>
      <c r="BN23" s="909">
        <v>1683</v>
      </c>
      <c r="BO23" s="906">
        <f t="shared" si="9"/>
        <v>534766</v>
      </c>
      <c r="BP23" s="900"/>
      <c r="BQ23" s="900">
        <v>40924</v>
      </c>
      <c r="BR23" s="907"/>
      <c r="BS23" s="908"/>
      <c r="BT23" s="907"/>
      <c r="BU23" s="906">
        <f t="shared" si="10"/>
        <v>40924</v>
      </c>
      <c r="BV23" s="900"/>
      <c r="BW23" s="900">
        <v>1157476</v>
      </c>
      <c r="BX23" s="907"/>
      <c r="BY23" s="908"/>
      <c r="BZ23" s="907"/>
      <c r="CA23" s="906">
        <f t="shared" si="11"/>
        <v>1157476</v>
      </c>
      <c r="CB23" s="900"/>
      <c r="CC23" s="900"/>
      <c r="CD23" s="909"/>
      <c r="CF23" s="909"/>
      <c r="CG23" s="906">
        <f t="shared" si="12"/>
        <v>0</v>
      </c>
      <c r="CH23" s="900"/>
      <c r="CI23" s="900">
        <v>1237308</v>
      </c>
      <c r="CJ23" s="907"/>
      <c r="CK23" s="908"/>
      <c r="CL23" s="909"/>
      <c r="CM23" s="906">
        <f t="shared" si="13"/>
        <v>1237308</v>
      </c>
      <c r="CN23" s="900"/>
      <c r="CO23" s="900">
        <v>66547</v>
      </c>
      <c r="CP23" s="907"/>
      <c r="CQ23" s="908"/>
      <c r="CR23" s="907"/>
      <c r="CS23" s="906">
        <f t="shared" si="14"/>
        <v>66547</v>
      </c>
      <c r="CT23" s="900"/>
    </row>
    <row r="24" spans="2:98">
      <c r="B24" s="911" t="s">
        <v>916</v>
      </c>
      <c r="C24" s="900">
        <f>I24+O24+U24+AA24+AG24+AM24+AS24+AY24+BE24+BK24+BQ24+BW24+CC24+CI24+CO24</f>
        <v>57476886</v>
      </c>
      <c r="D24" s="900">
        <f t="shared" si="18"/>
        <v>2122560</v>
      </c>
      <c r="E24" s="900">
        <f t="shared" si="18"/>
        <v>1075050</v>
      </c>
      <c r="F24" s="900">
        <f t="shared" si="18"/>
        <v>1130830</v>
      </c>
      <c r="G24" s="906">
        <f t="shared" si="19"/>
        <v>59543666</v>
      </c>
      <c r="H24" s="900"/>
      <c r="I24" s="900">
        <v>22776043</v>
      </c>
      <c r="J24" s="907">
        <v>568540</v>
      </c>
      <c r="K24" s="908">
        <v>992822</v>
      </c>
      <c r="L24" s="909">
        <v>197538</v>
      </c>
      <c r="M24" s="906">
        <f t="shared" ref="M24:M28" si="20">+I24+J24+K24-L24</f>
        <v>24139867</v>
      </c>
      <c r="N24" s="900"/>
      <c r="O24" s="900">
        <f>846245+2164517-59233</f>
        <v>2951529</v>
      </c>
      <c r="P24" s="907">
        <v>25134</v>
      </c>
      <c r="Q24" s="908">
        <v>59233</v>
      </c>
      <c r="R24" s="907">
        <v>49485</v>
      </c>
      <c r="S24" s="906">
        <f t="shared" si="1"/>
        <v>2986411</v>
      </c>
      <c r="T24" s="900"/>
      <c r="U24" s="900">
        <v>1114259</v>
      </c>
      <c r="V24" s="909">
        <v>197760</v>
      </c>
      <c r="W24" s="908"/>
      <c r="X24" s="909">
        <v>52575</v>
      </c>
      <c r="Y24" s="906">
        <f t="shared" si="2"/>
        <v>1259444</v>
      </c>
      <c r="Z24" s="900"/>
      <c r="AA24" s="900">
        <f>1787760-22995</f>
        <v>1764765</v>
      </c>
      <c r="AB24" s="914"/>
      <c r="AC24" s="908">
        <v>22995</v>
      </c>
      <c r="AD24" s="907"/>
      <c r="AE24" s="906">
        <f t="shared" si="3"/>
        <v>1787760</v>
      </c>
      <c r="AF24" s="900"/>
      <c r="AG24" s="900"/>
      <c r="AH24" s="909"/>
      <c r="AI24" s="908"/>
      <c r="AJ24" s="909"/>
      <c r="AK24" s="906">
        <f t="shared" si="4"/>
        <v>0</v>
      </c>
      <c r="AL24" s="900"/>
      <c r="AM24" s="900">
        <v>5689052</v>
      </c>
      <c r="AN24" s="907">
        <v>60562</v>
      </c>
      <c r="AO24" s="909"/>
      <c r="AP24" s="909">
        <v>153139</v>
      </c>
      <c r="AQ24" s="906">
        <f>+AM24+AN24-AO24-AP24</f>
        <v>5596475</v>
      </c>
      <c r="AR24" s="900"/>
      <c r="AS24" s="900">
        <v>1989484</v>
      </c>
      <c r="AT24" s="909">
        <v>25326</v>
      </c>
      <c r="AU24" s="908"/>
      <c r="AV24" s="907"/>
      <c r="AW24" s="906">
        <f t="shared" si="6"/>
        <v>2014810</v>
      </c>
      <c r="AX24" s="900"/>
      <c r="AY24" s="900">
        <v>3375464</v>
      </c>
      <c r="AZ24" s="909">
        <v>164287</v>
      </c>
      <c r="BA24" s="910"/>
      <c r="BB24" s="909">
        <v>18900</v>
      </c>
      <c r="BC24" s="906">
        <f t="shared" si="7"/>
        <v>3520851</v>
      </c>
      <c r="BD24" s="900"/>
      <c r="BE24" s="900">
        <v>2998928</v>
      </c>
      <c r="BF24" s="909">
        <v>176695</v>
      </c>
      <c r="BG24" s="908"/>
      <c r="BH24" s="909">
        <v>2490</v>
      </c>
      <c r="BI24" s="906">
        <f t="shared" si="8"/>
        <v>3173133</v>
      </c>
      <c r="BJ24" s="900"/>
      <c r="BK24" s="900">
        <v>1446918</v>
      </c>
      <c r="BL24" s="909">
        <v>484980</v>
      </c>
      <c r="BM24" s="908"/>
      <c r="BN24" s="909">
        <v>466818</v>
      </c>
      <c r="BO24" s="906">
        <f t="shared" si="9"/>
        <v>1465080</v>
      </c>
      <c r="BP24" s="900"/>
      <c r="BQ24" s="900">
        <v>1723845</v>
      </c>
      <c r="BR24" s="909">
        <v>40437</v>
      </c>
      <c r="BS24" s="908"/>
      <c r="BT24" s="907"/>
      <c r="BU24" s="906">
        <f t="shared" si="10"/>
        <v>1764282</v>
      </c>
      <c r="BV24" s="900"/>
      <c r="BW24" s="900">
        <v>8338492</v>
      </c>
      <c r="BX24" s="909">
        <v>101430</v>
      </c>
      <c r="BY24" s="908"/>
      <c r="BZ24" s="909">
        <v>17010</v>
      </c>
      <c r="CA24" s="906">
        <f t="shared" si="11"/>
        <v>8422912</v>
      </c>
      <c r="CB24" s="900"/>
      <c r="CC24" s="900"/>
      <c r="CD24" s="909"/>
      <c r="CF24" s="909"/>
      <c r="CG24" s="906">
        <f t="shared" si="12"/>
        <v>0</v>
      </c>
      <c r="CH24" s="900"/>
      <c r="CI24" s="900">
        <v>3308107</v>
      </c>
      <c r="CJ24" s="909">
        <v>277409</v>
      </c>
      <c r="CK24" s="908"/>
      <c r="CL24" s="909">
        <v>172875</v>
      </c>
      <c r="CM24" s="906">
        <f t="shared" si="13"/>
        <v>3412641</v>
      </c>
      <c r="CN24" s="900"/>
      <c r="CO24" s="900"/>
      <c r="CP24" s="907"/>
      <c r="CQ24" s="908"/>
      <c r="CR24" s="907"/>
      <c r="CS24" s="906">
        <f t="shared" si="14"/>
        <v>0</v>
      </c>
      <c r="CT24" s="900"/>
    </row>
    <row r="25" spans="2:98">
      <c r="B25" s="911" t="s">
        <v>917</v>
      </c>
      <c r="C25" s="900">
        <f t="shared" ref="C25:C27" si="21">I25+O25+U25+AA25+AG25+AM25+AS25+AY25+BE25+BK25+BQ25+BW25+CC25+CI25+CO25</f>
        <v>0</v>
      </c>
      <c r="D25" s="900"/>
      <c r="E25" s="900"/>
      <c r="F25" s="900">
        <f t="shared" si="18"/>
        <v>0</v>
      </c>
      <c r="G25" s="906">
        <f t="shared" si="19"/>
        <v>0</v>
      </c>
      <c r="H25" s="900"/>
      <c r="I25" s="900"/>
      <c r="J25" s="907"/>
      <c r="K25" s="908"/>
      <c r="L25" s="907"/>
      <c r="M25" s="906">
        <f t="shared" si="20"/>
        <v>0</v>
      </c>
      <c r="N25" s="900"/>
      <c r="O25" s="900"/>
      <c r="P25" s="907"/>
      <c r="Q25" s="908"/>
      <c r="R25" s="907"/>
      <c r="S25" s="906">
        <f t="shared" si="1"/>
        <v>0</v>
      </c>
      <c r="T25" s="900"/>
      <c r="U25" s="900"/>
      <c r="V25" s="907"/>
      <c r="W25" s="908"/>
      <c r="X25" s="907"/>
      <c r="Y25" s="906">
        <f t="shared" si="2"/>
        <v>0</v>
      </c>
      <c r="Z25" s="900"/>
      <c r="AA25" s="900"/>
      <c r="AB25" s="907"/>
      <c r="AC25" s="908"/>
      <c r="AD25" s="907"/>
      <c r="AE25" s="906">
        <f t="shared" si="3"/>
        <v>0</v>
      </c>
      <c r="AF25" s="900"/>
      <c r="AG25" s="900"/>
      <c r="AH25" s="907"/>
      <c r="AI25" s="908"/>
      <c r="AJ25" s="907"/>
      <c r="AK25" s="906">
        <f t="shared" si="4"/>
        <v>0</v>
      </c>
      <c r="AL25" s="900"/>
      <c r="AM25" s="900"/>
      <c r="AN25" s="907"/>
      <c r="AO25" s="908"/>
      <c r="AP25" s="907"/>
      <c r="AQ25" s="906">
        <f t="shared" ref="AQ25:AQ28" si="22">+AM25+AN25+AO25-AP25</f>
        <v>0</v>
      </c>
      <c r="AR25" s="900"/>
      <c r="AS25" s="900"/>
      <c r="AT25" s="907"/>
      <c r="AU25" s="908"/>
      <c r="AV25" s="907"/>
      <c r="AW25" s="906">
        <f t="shared" si="6"/>
        <v>0</v>
      </c>
      <c r="AX25" s="900"/>
      <c r="AY25" s="900"/>
      <c r="AZ25" s="909"/>
      <c r="BA25" s="910"/>
      <c r="BB25" s="909"/>
      <c r="BC25" s="906">
        <f t="shared" si="7"/>
        <v>0</v>
      </c>
      <c r="BD25" s="900"/>
      <c r="BE25" s="900"/>
      <c r="BF25" s="909"/>
      <c r="BG25" s="908"/>
      <c r="BH25" s="909"/>
      <c r="BI25" s="906">
        <f t="shared" si="8"/>
        <v>0</v>
      </c>
      <c r="BJ25" s="900"/>
      <c r="BK25" s="900"/>
      <c r="BL25" s="909"/>
      <c r="BM25" s="908"/>
      <c r="BN25" s="909"/>
      <c r="BO25" s="906">
        <f t="shared" si="9"/>
        <v>0</v>
      </c>
      <c r="BP25" s="900"/>
      <c r="BQ25" s="900"/>
      <c r="BR25" s="907"/>
      <c r="BS25" s="908"/>
      <c r="BT25" s="907"/>
      <c r="BU25" s="906">
        <f t="shared" si="10"/>
        <v>0</v>
      </c>
      <c r="BV25" s="900"/>
      <c r="BW25" s="900"/>
      <c r="BX25" s="907"/>
      <c r="BY25" s="908"/>
      <c r="BZ25" s="907"/>
      <c r="CA25" s="906">
        <f t="shared" si="11"/>
        <v>0</v>
      </c>
      <c r="CB25" s="900"/>
      <c r="CC25" s="900"/>
      <c r="CD25" s="909"/>
      <c r="CE25" s="910"/>
      <c r="CF25" s="909"/>
      <c r="CG25" s="906">
        <f t="shared" si="12"/>
        <v>0</v>
      </c>
      <c r="CH25" s="900"/>
      <c r="CI25" s="900"/>
      <c r="CJ25" s="907"/>
      <c r="CK25" s="908"/>
      <c r="CL25" s="909"/>
      <c r="CM25" s="906">
        <f t="shared" si="13"/>
        <v>0</v>
      </c>
      <c r="CN25" s="900"/>
      <c r="CO25" s="900"/>
      <c r="CP25" s="907"/>
      <c r="CQ25" s="908"/>
      <c r="CR25" s="907"/>
      <c r="CS25" s="906">
        <f t="shared" si="14"/>
        <v>0</v>
      </c>
      <c r="CT25" s="900"/>
    </row>
    <row r="26" spans="2:98">
      <c r="B26" s="911" t="s">
        <v>918</v>
      </c>
      <c r="C26" s="900">
        <f t="shared" si="21"/>
        <v>553643160</v>
      </c>
      <c r="D26" s="900">
        <f t="shared" si="18"/>
        <v>0</v>
      </c>
      <c r="E26" s="900">
        <f t="shared" si="18"/>
        <v>0</v>
      </c>
      <c r="F26" s="900">
        <f t="shared" si="18"/>
        <v>0</v>
      </c>
      <c r="G26" s="906">
        <f t="shared" si="19"/>
        <v>553643160</v>
      </c>
      <c r="H26" s="900"/>
      <c r="I26" s="900"/>
      <c r="J26" s="907"/>
      <c r="K26" s="908"/>
      <c r="L26" s="907"/>
      <c r="M26" s="906">
        <f t="shared" si="20"/>
        <v>0</v>
      </c>
      <c r="N26" s="900"/>
      <c r="O26" s="900"/>
      <c r="P26" s="907"/>
      <c r="Q26" s="908"/>
      <c r="R26" s="907"/>
      <c r="S26" s="906">
        <f t="shared" si="1"/>
        <v>0</v>
      </c>
      <c r="T26" s="900"/>
      <c r="U26" s="900"/>
      <c r="V26" s="907"/>
      <c r="W26" s="908"/>
      <c r="X26" s="907"/>
      <c r="Y26" s="906">
        <f t="shared" si="2"/>
        <v>0</v>
      </c>
      <c r="Z26" s="900"/>
      <c r="AA26" s="900"/>
      <c r="AB26" s="907"/>
      <c r="AC26" s="908"/>
      <c r="AD26" s="907"/>
      <c r="AE26" s="906">
        <f t="shared" si="3"/>
        <v>0</v>
      </c>
      <c r="AF26" s="900"/>
      <c r="AG26" s="900"/>
      <c r="AH26" s="907"/>
      <c r="AI26" s="908"/>
      <c r="AJ26" s="907"/>
      <c r="AK26" s="906">
        <f t="shared" si="4"/>
        <v>0</v>
      </c>
      <c r="AL26" s="900"/>
      <c r="AM26" s="900"/>
      <c r="AN26" s="907"/>
      <c r="AO26" s="908"/>
      <c r="AP26" s="907"/>
      <c r="AQ26" s="906">
        <f t="shared" si="22"/>
        <v>0</v>
      </c>
      <c r="AR26" s="900"/>
      <c r="AS26" s="900">
        <v>110783160</v>
      </c>
      <c r="AT26" s="907"/>
      <c r="AU26" s="908"/>
      <c r="AV26" s="907"/>
      <c r="AW26" s="906">
        <f t="shared" si="6"/>
        <v>110783160</v>
      </c>
      <c r="AX26" s="900"/>
      <c r="AY26" s="900">
        <v>110715000</v>
      </c>
      <c r="AZ26" s="909"/>
      <c r="BA26" s="910"/>
      <c r="BB26" s="909"/>
      <c r="BC26" s="906">
        <f t="shared" si="7"/>
        <v>110715000</v>
      </c>
      <c r="BD26" s="900"/>
      <c r="BE26" s="900">
        <v>110715000</v>
      </c>
      <c r="BF26" s="909"/>
      <c r="BG26" s="908"/>
      <c r="BH26" s="909"/>
      <c r="BI26" s="906">
        <f t="shared" si="8"/>
        <v>110715000</v>
      </c>
      <c r="BJ26" s="900"/>
      <c r="BK26" s="900"/>
      <c r="BL26" s="909"/>
      <c r="BM26" s="908"/>
      <c r="BN26" s="909"/>
      <c r="BO26" s="906">
        <f t="shared" si="9"/>
        <v>0</v>
      </c>
      <c r="BP26" s="900"/>
      <c r="BQ26" s="900"/>
      <c r="BR26" s="907"/>
      <c r="BS26" s="908"/>
      <c r="BT26" s="907"/>
      <c r="BU26" s="906">
        <f t="shared" si="10"/>
        <v>0</v>
      </c>
      <c r="BV26" s="900"/>
      <c r="BW26" s="900"/>
      <c r="BX26" s="907"/>
      <c r="BY26" s="908"/>
      <c r="BZ26" s="907"/>
      <c r="CA26" s="906">
        <f t="shared" si="11"/>
        <v>0</v>
      </c>
      <c r="CB26" s="900"/>
      <c r="CC26" s="900"/>
      <c r="CD26" s="909"/>
      <c r="CE26" s="910"/>
      <c r="CF26" s="909"/>
      <c r="CG26" s="906">
        <f t="shared" si="12"/>
        <v>0</v>
      </c>
      <c r="CH26" s="900"/>
      <c r="CI26" s="900">
        <v>221430000</v>
      </c>
      <c r="CJ26" s="907"/>
      <c r="CK26" s="908"/>
      <c r="CL26" s="909"/>
      <c r="CM26" s="906">
        <f t="shared" si="13"/>
        <v>221430000</v>
      </c>
      <c r="CN26" s="900"/>
      <c r="CO26" s="900"/>
      <c r="CP26" s="907"/>
      <c r="CQ26" s="908"/>
      <c r="CR26" s="907"/>
      <c r="CS26" s="906">
        <f t="shared" si="14"/>
        <v>0</v>
      </c>
      <c r="CT26" s="900"/>
    </row>
    <row r="27" spans="2:98">
      <c r="B27" s="911" t="s">
        <v>411</v>
      </c>
      <c r="C27" s="900">
        <f t="shared" si="21"/>
        <v>26170572</v>
      </c>
      <c r="D27" s="900">
        <f t="shared" si="18"/>
        <v>0</v>
      </c>
      <c r="E27" s="900">
        <f t="shared" si="18"/>
        <v>0</v>
      </c>
      <c r="F27" s="900">
        <f t="shared" si="18"/>
        <v>0</v>
      </c>
      <c r="G27" s="906">
        <f t="shared" si="19"/>
        <v>26170572</v>
      </c>
      <c r="H27" s="900"/>
      <c r="I27" s="900"/>
      <c r="J27" s="907"/>
      <c r="K27" s="908"/>
      <c r="L27" s="907"/>
      <c r="M27" s="906">
        <f t="shared" si="20"/>
        <v>0</v>
      </c>
      <c r="N27" s="900"/>
      <c r="O27" s="900">
        <v>26170572</v>
      </c>
      <c r="P27" s="907"/>
      <c r="Q27" s="908"/>
      <c r="R27" s="907"/>
      <c r="S27" s="906">
        <f t="shared" si="1"/>
        <v>26170572</v>
      </c>
      <c r="T27" s="900"/>
      <c r="U27" s="900"/>
      <c r="V27" s="907"/>
      <c r="W27" s="908"/>
      <c r="X27" s="907"/>
      <c r="Y27" s="906">
        <f t="shared" si="2"/>
        <v>0</v>
      </c>
      <c r="Z27" s="900"/>
      <c r="AA27" s="900"/>
      <c r="AB27" s="907"/>
      <c r="AC27" s="908"/>
      <c r="AD27" s="907"/>
      <c r="AE27" s="906">
        <f t="shared" si="3"/>
        <v>0</v>
      </c>
      <c r="AF27" s="900"/>
      <c r="AG27" s="900"/>
      <c r="AH27" s="907"/>
      <c r="AI27" s="908"/>
      <c r="AJ27" s="907"/>
      <c r="AK27" s="906">
        <f t="shared" si="4"/>
        <v>0</v>
      </c>
      <c r="AL27" s="900"/>
      <c r="AM27" s="900"/>
      <c r="AN27" s="907"/>
      <c r="AO27" s="908"/>
      <c r="AP27" s="907"/>
      <c r="AQ27" s="906">
        <f t="shared" si="22"/>
        <v>0</v>
      </c>
      <c r="AR27" s="900"/>
      <c r="AS27" s="900"/>
      <c r="AT27" s="907"/>
      <c r="AU27" s="908"/>
      <c r="AV27" s="907"/>
      <c r="AW27" s="906">
        <f t="shared" si="6"/>
        <v>0</v>
      </c>
      <c r="AX27" s="900"/>
      <c r="AY27" s="900"/>
      <c r="AZ27" s="909"/>
      <c r="BA27" s="910"/>
      <c r="BB27" s="909"/>
      <c r="BC27" s="906">
        <f t="shared" si="7"/>
        <v>0</v>
      </c>
      <c r="BD27" s="900"/>
      <c r="BE27" s="900"/>
      <c r="BF27" s="909"/>
      <c r="BG27" s="908"/>
      <c r="BH27" s="909"/>
      <c r="BI27" s="906">
        <f t="shared" si="8"/>
        <v>0</v>
      </c>
      <c r="BJ27" s="900"/>
      <c r="BK27" s="900"/>
      <c r="BL27" s="909"/>
      <c r="BM27" s="908"/>
      <c r="BN27" s="909"/>
      <c r="BO27" s="906">
        <f t="shared" si="9"/>
        <v>0</v>
      </c>
      <c r="BP27" s="900"/>
      <c r="BQ27" s="900"/>
      <c r="BR27" s="907"/>
      <c r="BS27" s="908"/>
      <c r="BT27" s="907"/>
      <c r="BU27" s="906">
        <f t="shared" si="10"/>
        <v>0</v>
      </c>
      <c r="BV27" s="900"/>
      <c r="BW27" s="900"/>
      <c r="BX27" s="907"/>
      <c r="BY27" s="908"/>
      <c r="BZ27" s="907"/>
      <c r="CA27" s="906">
        <f t="shared" si="11"/>
        <v>0</v>
      </c>
      <c r="CB27" s="900"/>
      <c r="CC27" s="900"/>
      <c r="CD27" s="909"/>
      <c r="CE27" s="910"/>
      <c r="CF27" s="909"/>
      <c r="CG27" s="906">
        <f t="shared" si="12"/>
        <v>0</v>
      </c>
      <c r="CH27" s="900"/>
      <c r="CI27" s="900"/>
      <c r="CJ27" s="907"/>
      <c r="CK27" s="908"/>
      <c r="CL27" s="909"/>
      <c r="CM27" s="906">
        <f t="shared" si="13"/>
        <v>0</v>
      </c>
      <c r="CN27" s="900"/>
      <c r="CO27" s="900"/>
      <c r="CP27" s="907"/>
      <c r="CQ27" s="908"/>
      <c r="CR27" s="907"/>
      <c r="CS27" s="906">
        <f t="shared" si="14"/>
        <v>0</v>
      </c>
      <c r="CT27" s="900"/>
    </row>
    <row r="28" spans="2:98">
      <c r="B28" s="911" t="s">
        <v>919</v>
      </c>
      <c r="C28" s="900">
        <f>I28+O28+U28+AA28+AG28+AM28+AS28+AY28+BE28+BK28+BQ28+BW28+CC28+CI28+CO28</f>
        <v>34112382</v>
      </c>
      <c r="D28" s="900">
        <f t="shared" si="18"/>
        <v>0</v>
      </c>
      <c r="E28" s="900">
        <f t="shared" si="18"/>
        <v>0</v>
      </c>
      <c r="F28" s="900">
        <f t="shared" si="18"/>
        <v>0</v>
      </c>
      <c r="G28" s="906">
        <f t="shared" si="19"/>
        <v>34112382</v>
      </c>
      <c r="H28" s="900"/>
      <c r="I28" s="900"/>
      <c r="J28" s="907"/>
      <c r="K28" s="908"/>
      <c r="L28" s="907"/>
      <c r="M28" s="906">
        <f t="shared" si="20"/>
        <v>0</v>
      </c>
      <c r="N28" s="900"/>
      <c r="O28" s="900"/>
      <c r="P28" s="907"/>
      <c r="Q28" s="908"/>
      <c r="R28" s="907"/>
      <c r="S28" s="906">
        <f t="shared" si="1"/>
        <v>0</v>
      </c>
      <c r="T28" s="900"/>
      <c r="U28" s="900"/>
      <c r="V28" s="907"/>
      <c r="W28" s="908"/>
      <c r="X28" s="907"/>
      <c r="Y28" s="906">
        <f t="shared" si="2"/>
        <v>0</v>
      </c>
      <c r="Z28" s="900"/>
      <c r="AA28" s="900"/>
      <c r="AB28" s="907"/>
      <c r="AC28" s="908"/>
      <c r="AD28" s="907"/>
      <c r="AE28" s="906">
        <f t="shared" si="3"/>
        <v>0</v>
      </c>
      <c r="AF28" s="900"/>
      <c r="AG28" s="900"/>
      <c r="AH28" s="907"/>
      <c r="AI28" s="908"/>
      <c r="AJ28" s="907"/>
      <c r="AK28" s="906">
        <f t="shared" si="4"/>
        <v>0</v>
      </c>
      <c r="AL28" s="900"/>
      <c r="AM28" s="900"/>
      <c r="AN28" s="907"/>
      <c r="AO28" s="908"/>
      <c r="AP28" s="907"/>
      <c r="AQ28" s="906">
        <f t="shared" si="22"/>
        <v>0</v>
      </c>
      <c r="AR28" s="900"/>
      <c r="AS28" s="900"/>
      <c r="AT28" s="907"/>
      <c r="AU28" s="908"/>
      <c r="AV28" s="907"/>
      <c r="AW28" s="906">
        <f t="shared" si="6"/>
        <v>0</v>
      </c>
      <c r="AX28" s="900"/>
      <c r="AY28" s="900"/>
      <c r="AZ28" s="909"/>
      <c r="BA28" s="910"/>
      <c r="BB28" s="909"/>
      <c r="BC28" s="906">
        <f t="shared" si="7"/>
        <v>0</v>
      </c>
      <c r="BD28" s="900"/>
      <c r="BE28" s="900"/>
      <c r="BF28" s="909"/>
      <c r="BG28" s="908"/>
      <c r="BH28" s="909"/>
      <c r="BI28" s="906">
        <f t="shared" si="8"/>
        <v>0</v>
      </c>
      <c r="BJ28" s="900"/>
      <c r="BK28" s="900"/>
      <c r="BL28" s="909"/>
      <c r="BM28" s="908"/>
      <c r="BN28" s="909"/>
      <c r="BO28" s="906">
        <f t="shared" si="9"/>
        <v>0</v>
      </c>
      <c r="BP28" s="900"/>
      <c r="BQ28" s="900">
        <v>34112382</v>
      </c>
      <c r="BR28" s="907"/>
      <c r="BS28" s="908"/>
      <c r="BT28" s="907"/>
      <c r="BU28" s="906">
        <f t="shared" si="10"/>
        <v>34112382</v>
      </c>
      <c r="BV28" s="900"/>
      <c r="BW28" s="900"/>
      <c r="BX28" s="907"/>
      <c r="BY28" s="908"/>
      <c r="BZ28" s="907"/>
      <c r="CA28" s="906">
        <f t="shared" si="11"/>
        <v>0</v>
      </c>
      <c r="CB28" s="900"/>
      <c r="CC28" s="900"/>
      <c r="CD28" s="909"/>
      <c r="CE28" s="910"/>
      <c r="CF28" s="909"/>
      <c r="CG28" s="906">
        <f t="shared" si="12"/>
        <v>0</v>
      </c>
      <c r="CH28" s="900"/>
      <c r="CI28" s="900"/>
      <c r="CJ28" s="907"/>
      <c r="CK28" s="908"/>
      <c r="CL28" s="909"/>
      <c r="CM28" s="906">
        <f t="shared" si="13"/>
        <v>0</v>
      </c>
      <c r="CN28" s="900"/>
      <c r="CO28" s="900"/>
      <c r="CP28" s="907"/>
      <c r="CQ28" s="908"/>
      <c r="CR28" s="907"/>
      <c r="CS28" s="906">
        <f t="shared" si="14"/>
        <v>0</v>
      </c>
      <c r="CT28" s="900"/>
    </row>
    <row r="29" spans="2:98">
      <c r="B29" s="915" t="s">
        <v>403</v>
      </c>
      <c r="C29" s="900">
        <f>I29+O29+U29+AA29+AG29+AM29+AS29+AY29+BE29+BK29+BQ29+BW29+CC29+CI29+CO29</f>
        <v>178017283</v>
      </c>
      <c r="D29" s="900">
        <f t="shared" ref="D29:F29" si="23">J29+P29+V29+AB29+AH29+AN29+AT29+AZ29+BF29+BL29+BR29+BX29+CD29+CJ29+CP29</f>
        <v>4648516</v>
      </c>
      <c r="E29" s="900">
        <f t="shared" si="23"/>
        <v>-22995</v>
      </c>
      <c r="F29" s="900">
        <f t="shared" si="23"/>
        <v>1017479</v>
      </c>
      <c r="G29" s="906">
        <f t="shared" si="19"/>
        <v>181625325</v>
      </c>
      <c r="H29" s="900"/>
      <c r="I29" s="900">
        <v>112822912</v>
      </c>
      <c r="J29" s="907">
        <v>2734382</v>
      </c>
      <c r="K29" s="908"/>
      <c r="L29" s="907"/>
      <c r="M29" s="906">
        <f>+I29+J29+K29-L29</f>
        <v>115557294</v>
      </c>
      <c r="N29" s="900"/>
      <c r="O29" s="900">
        <v>6118992</v>
      </c>
      <c r="P29" s="909">
        <v>3330</v>
      </c>
      <c r="Q29" s="908"/>
      <c r="R29" s="907"/>
      <c r="S29" s="906">
        <f t="shared" si="1"/>
        <v>6122322</v>
      </c>
      <c r="T29" s="900"/>
      <c r="U29" s="900">
        <v>3493029</v>
      </c>
      <c r="V29" s="909"/>
      <c r="W29" s="908"/>
      <c r="X29" s="909">
        <v>238834</v>
      </c>
      <c r="Y29" s="906">
        <f t="shared" si="2"/>
        <v>3254195</v>
      </c>
      <c r="Z29" s="900"/>
      <c r="AA29" s="900">
        <f>2469214+22995</f>
        <v>2492209</v>
      </c>
      <c r="AB29" s="907">
        <v>1131625</v>
      </c>
      <c r="AC29" s="907">
        <v>-22995</v>
      </c>
      <c r="AD29" s="907">
        <v>504720</v>
      </c>
      <c r="AE29" s="906">
        <f t="shared" si="3"/>
        <v>3096119</v>
      </c>
      <c r="AF29" s="900"/>
      <c r="AG29" s="900"/>
      <c r="AH29" s="909"/>
      <c r="AI29" s="908"/>
      <c r="AJ29" s="909"/>
      <c r="AK29" s="906">
        <f t="shared" si="4"/>
        <v>0</v>
      </c>
      <c r="AL29" s="900"/>
      <c r="AM29" s="900">
        <v>7697398</v>
      </c>
      <c r="AN29" s="907">
        <v>23000</v>
      </c>
      <c r="AO29" s="909"/>
      <c r="AP29" s="909"/>
      <c r="AQ29" s="906">
        <f>+AM29+AN29-AO29-AP29</f>
        <v>7720398</v>
      </c>
      <c r="AR29" s="900"/>
      <c r="AS29" s="900">
        <v>2907879</v>
      </c>
      <c r="AT29" s="909">
        <v>15800</v>
      </c>
      <c r="AU29" s="908"/>
      <c r="AV29" s="909"/>
      <c r="AW29" s="906">
        <f t="shared" si="6"/>
        <v>2923679</v>
      </c>
      <c r="AX29" s="900"/>
      <c r="AY29" s="900">
        <v>7458056</v>
      </c>
      <c r="AZ29" s="909">
        <v>26640</v>
      </c>
      <c r="BA29" s="910"/>
      <c r="BB29" s="909"/>
      <c r="BC29" s="906">
        <f t="shared" si="7"/>
        <v>7484696</v>
      </c>
      <c r="BD29" s="900"/>
      <c r="BE29" s="900">
        <v>4774894</v>
      </c>
      <c r="BF29" s="909">
        <v>91040</v>
      </c>
      <c r="BG29" s="908"/>
      <c r="BH29" s="909"/>
      <c r="BI29" s="906">
        <f t="shared" si="8"/>
        <v>4865934</v>
      </c>
      <c r="BJ29" s="900"/>
      <c r="BK29" s="900">
        <v>1960026</v>
      </c>
      <c r="BL29" s="909">
        <v>56355</v>
      </c>
      <c r="BM29" s="908"/>
      <c r="BN29" s="909">
        <v>273925</v>
      </c>
      <c r="BO29" s="906">
        <f t="shared" si="9"/>
        <v>1742456</v>
      </c>
      <c r="BP29" s="900"/>
      <c r="BQ29" s="900">
        <v>3675577</v>
      </c>
      <c r="BR29" s="909">
        <v>291410</v>
      </c>
      <c r="BS29" s="908"/>
      <c r="BT29" s="907"/>
      <c r="BU29" s="906">
        <f t="shared" si="10"/>
        <v>3966987</v>
      </c>
      <c r="BV29" s="900"/>
      <c r="BW29" s="900">
        <v>15878339</v>
      </c>
      <c r="BX29" s="907">
        <v>251404</v>
      </c>
      <c r="BY29" s="908"/>
      <c r="BZ29" s="909"/>
      <c r="CA29" s="906">
        <f t="shared" si="11"/>
        <v>16129743</v>
      </c>
      <c r="CB29" s="900"/>
      <c r="CC29" s="900"/>
      <c r="CD29" s="909"/>
      <c r="CE29" s="910"/>
      <c r="CF29" s="909"/>
      <c r="CG29" s="906">
        <f t="shared" si="12"/>
        <v>0</v>
      </c>
      <c r="CH29" s="900"/>
      <c r="CI29" s="900">
        <v>8389313</v>
      </c>
      <c r="CJ29" s="909">
        <v>23530</v>
      </c>
      <c r="CK29" s="908"/>
      <c r="CL29" s="909"/>
      <c r="CM29" s="906">
        <f t="shared" si="13"/>
        <v>8412843</v>
      </c>
      <c r="CN29" s="900"/>
      <c r="CO29" s="900">
        <v>348659</v>
      </c>
      <c r="CP29" s="907"/>
      <c r="CQ29" s="908"/>
      <c r="CR29" s="907"/>
      <c r="CS29" s="906">
        <f t="shared" si="14"/>
        <v>348659</v>
      </c>
      <c r="CT29" s="900"/>
    </row>
    <row r="30" spans="2:98" ht="12" thickBot="1">
      <c r="B30" s="897"/>
      <c r="C30" s="900"/>
      <c r="D30" s="900"/>
      <c r="E30" s="900"/>
      <c r="F30" s="900"/>
      <c r="G30" s="906"/>
      <c r="H30" s="900"/>
      <c r="I30" s="900"/>
      <c r="J30" s="907"/>
      <c r="K30" s="908"/>
      <c r="L30" s="907"/>
      <c r="M30" s="906"/>
      <c r="N30" s="900"/>
      <c r="O30" s="900"/>
      <c r="P30" s="907"/>
      <c r="Q30" s="908"/>
      <c r="R30" s="907"/>
      <c r="S30" s="906"/>
      <c r="T30" s="900"/>
      <c r="U30" s="900"/>
      <c r="V30" s="907"/>
      <c r="W30" s="908"/>
      <c r="X30" s="907"/>
      <c r="Y30" s="906"/>
      <c r="Z30" s="900"/>
      <c r="AA30" s="900"/>
      <c r="AB30" s="907"/>
      <c r="AC30" s="908"/>
      <c r="AD30" s="907"/>
      <c r="AE30" s="906"/>
      <c r="AF30" s="900"/>
      <c r="AG30" s="900"/>
      <c r="AH30" s="907"/>
      <c r="AI30" s="908"/>
      <c r="AJ30" s="907"/>
      <c r="AK30" s="906"/>
      <c r="AL30" s="900"/>
      <c r="AM30" s="900"/>
      <c r="AN30" s="907"/>
      <c r="AO30" s="908"/>
      <c r="AP30" s="916"/>
      <c r="AQ30" s="906"/>
      <c r="AR30" s="900"/>
      <c r="AS30" s="900"/>
      <c r="AT30" s="907"/>
      <c r="AU30" s="908"/>
      <c r="AV30" s="907"/>
      <c r="AW30" s="906"/>
      <c r="AX30" s="900"/>
      <c r="AY30" s="900"/>
      <c r="AZ30" s="909"/>
      <c r="BA30" s="910"/>
      <c r="BB30" s="909"/>
      <c r="BC30" s="906"/>
      <c r="BD30" s="900"/>
      <c r="BE30" s="900"/>
      <c r="BF30" s="909"/>
      <c r="BG30" s="908"/>
      <c r="BH30" s="907"/>
      <c r="BI30" s="906"/>
      <c r="BJ30" s="900"/>
      <c r="BK30" s="900"/>
      <c r="BL30" s="909"/>
      <c r="BM30" s="908"/>
      <c r="BN30" s="909"/>
      <c r="BO30" s="906"/>
      <c r="BP30" s="900"/>
      <c r="BQ30" s="900"/>
      <c r="BR30" s="907"/>
      <c r="BS30" s="908"/>
      <c r="BT30" s="907"/>
      <c r="BU30" s="906"/>
      <c r="BV30" s="900"/>
      <c r="BW30" s="900"/>
      <c r="BX30" s="907"/>
      <c r="BY30" s="908"/>
      <c r="BZ30" s="907"/>
      <c r="CA30" s="906"/>
      <c r="CB30" s="900"/>
      <c r="CC30" s="900"/>
      <c r="CD30" s="907"/>
      <c r="CE30" s="908"/>
      <c r="CF30" s="916"/>
      <c r="CG30" s="906"/>
      <c r="CH30" s="900"/>
      <c r="CI30" s="900"/>
      <c r="CJ30" s="907"/>
      <c r="CK30" s="908"/>
      <c r="CL30" s="907"/>
      <c r="CM30" s="906"/>
      <c r="CN30" s="900"/>
      <c r="CO30" s="900"/>
      <c r="CP30" s="907"/>
      <c r="CQ30" s="908"/>
      <c r="CR30" s="907"/>
      <c r="CS30" s="906"/>
      <c r="CT30" s="900"/>
    </row>
    <row r="31" spans="2:98" ht="12" thickBot="1">
      <c r="B31" s="917" t="s">
        <v>806</v>
      </c>
      <c r="C31" s="894">
        <f>SUM(C6:C30)</f>
        <v>2025335132</v>
      </c>
      <c r="D31" s="894">
        <f>SUM(D6:D30)</f>
        <v>9416031</v>
      </c>
      <c r="E31" s="894">
        <f>SUM(E6:E30)</f>
        <v>0</v>
      </c>
      <c r="F31" s="894">
        <f>SUM(F6:F30)</f>
        <v>4916155</v>
      </c>
      <c r="G31" s="894">
        <f>SUM(G6:G30)</f>
        <v>2029835008</v>
      </c>
      <c r="H31" s="898"/>
      <c r="I31" s="894">
        <f>SUM(I6:I30)</f>
        <v>261543045</v>
      </c>
      <c r="J31" s="894">
        <f>SUM(J6:J30)</f>
        <v>3967589</v>
      </c>
      <c r="K31" s="894">
        <f>SUM(K6:K30)</f>
        <v>0</v>
      </c>
      <c r="L31" s="894">
        <f>SUM(L6:L30)</f>
        <v>300760</v>
      </c>
      <c r="M31" s="894">
        <f>SUM(M6:M30)</f>
        <v>265209874</v>
      </c>
      <c r="N31" s="898"/>
      <c r="O31" s="894">
        <f>SUM(O6:O30)</f>
        <v>746700267</v>
      </c>
      <c r="P31" s="894">
        <f>SUM(P6:P30)</f>
        <v>58104</v>
      </c>
      <c r="Q31" s="894">
        <f>SUM(Q6:Q30)</f>
        <v>0</v>
      </c>
      <c r="R31" s="894">
        <f>SUM(R6:R30)</f>
        <v>49485</v>
      </c>
      <c r="S31" s="918">
        <f>+O31+P31+Q31-R31</f>
        <v>746708886</v>
      </c>
      <c r="T31" s="898"/>
      <c r="U31" s="894">
        <f>SUM(U6:U30)</f>
        <v>15132619</v>
      </c>
      <c r="V31" s="894">
        <f>SUM(V6:V30)</f>
        <v>292460</v>
      </c>
      <c r="W31" s="894">
        <f>SUM(W6:W30)</f>
        <v>0</v>
      </c>
      <c r="X31" s="894">
        <f>SUM(X6:X30)</f>
        <v>2217816</v>
      </c>
      <c r="Y31" s="894">
        <f>SUM(Y6:Y30)</f>
        <v>13207263</v>
      </c>
      <c r="Z31" s="898"/>
      <c r="AA31" s="894">
        <f>SUM(AA6:AA30)</f>
        <v>9726655</v>
      </c>
      <c r="AB31" s="894">
        <f>SUM(AB6:AB30)</f>
        <v>1175973</v>
      </c>
      <c r="AC31" s="894">
        <f>SUM(AC6:AC30)</f>
        <v>0</v>
      </c>
      <c r="AD31" s="894">
        <f>SUM(AD6:AD30)</f>
        <v>504720</v>
      </c>
      <c r="AE31" s="918">
        <f>+AA31+AB31+AC31-AD31</f>
        <v>10397908</v>
      </c>
      <c r="AF31" s="898"/>
      <c r="AG31" s="894">
        <f>SUM(AG6:AG30)</f>
        <v>0</v>
      </c>
      <c r="AH31" s="894">
        <f>SUM(AH6:AH30)</f>
        <v>0</v>
      </c>
      <c r="AI31" s="894">
        <f>SUM(AI6:AI30)</f>
        <v>0</v>
      </c>
      <c r="AJ31" s="894">
        <f>SUM(AJ6:AJ30)</f>
        <v>0</v>
      </c>
      <c r="AK31" s="918">
        <f>+AG31+AH31+AI31-AJ31</f>
        <v>0</v>
      </c>
      <c r="AL31" s="898"/>
      <c r="AM31" s="894">
        <f>SUM(AM6:AM30)</f>
        <v>104141523</v>
      </c>
      <c r="AN31" s="894">
        <f>SUM(AN6:AN30)</f>
        <v>333562</v>
      </c>
      <c r="AO31" s="894">
        <f>SUM(AO6:AO30)</f>
        <v>0</v>
      </c>
      <c r="AP31" s="894">
        <f>SUM(AP6:AP30)</f>
        <v>153139</v>
      </c>
      <c r="AQ31" s="894">
        <f>SUM(AQ6:AQ30)</f>
        <v>104321946</v>
      </c>
      <c r="AR31" s="898"/>
      <c r="AS31" s="894">
        <f>SUM(AS6:AS30)</f>
        <v>130059313</v>
      </c>
      <c r="AT31" s="894">
        <f>SUM(AT6:AT30)</f>
        <v>41126</v>
      </c>
      <c r="AU31" s="894">
        <f>SUM(AU6:AU30)</f>
        <v>0</v>
      </c>
      <c r="AV31" s="894">
        <f>SUM(AV6:AV30)</f>
        <v>550000</v>
      </c>
      <c r="AW31" s="918">
        <f>+AS31+AT31+AU31-AV31</f>
        <v>129550439</v>
      </c>
      <c r="AX31" s="898"/>
      <c r="AY31" s="894">
        <f>SUM(AY6:AY30)</f>
        <v>181894702</v>
      </c>
      <c r="AZ31" s="894">
        <f>SUM(AZ6:AZ30)</f>
        <v>291715</v>
      </c>
      <c r="BA31" s="894">
        <f>SUM(BA6:BA30)</f>
        <v>0</v>
      </c>
      <c r="BB31" s="894">
        <f>SUM(BB6:BB30)</f>
        <v>18900</v>
      </c>
      <c r="BC31" s="918">
        <f>+AY31+AZ31+BA31-BB31</f>
        <v>182167517</v>
      </c>
      <c r="BD31" s="898"/>
      <c r="BE31" s="894">
        <f>SUM(BE6:BE30)</f>
        <v>139851717</v>
      </c>
      <c r="BF31" s="919">
        <f>SUM(BF6:BF30)</f>
        <v>514735</v>
      </c>
      <c r="BG31" s="894">
        <f>SUM(BG6:BG30)</f>
        <v>0</v>
      </c>
      <c r="BH31" s="894">
        <f>SUM(BH6:BH30)</f>
        <v>43864</v>
      </c>
      <c r="BI31" s="918">
        <f>+BE31+BF31+BG31-BH31</f>
        <v>140322588</v>
      </c>
      <c r="BJ31" s="898"/>
      <c r="BK31" s="894">
        <f>SUM(BK6:BK30)</f>
        <v>14746344</v>
      </c>
      <c r="BL31" s="894">
        <f>SUM(BL6:BL30)</f>
        <v>822274</v>
      </c>
      <c r="BM31" s="894">
        <f>SUM(BM6:BM30)</f>
        <v>0</v>
      </c>
      <c r="BN31" s="894">
        <f>SUM(BN6:BN30)</f>
        <v>794444</v>
      </c>
      <c r="BO31" s="918">
        <f>+BK31+BL31+BM31-BN31</f>
        <v>14774174</v>
      </c>
      <c r="BP31" s="898"/>
      <c r="BQ31" s="894">
        <f>SUM(BQ6:BQ30)</f>
        <v>47537576</v>
      </c>
      <c r="BR31" s="894">
        <f>SUM(BR6:BR30)</f>
        <v>779840</v>
      </c>
      <c r="BS31" s="894">
        <f>SUM(BS6:BS30)</f>
        <v>0</v>
      </c>
      <c r="BT31" s="894">
        <f>SUM(BT6:BT30)</f>
        <v>93142</v>
      </c>
      <c r="BU31" s="918">
        <f>+BQ31+BR31+BS31-BT31</f>
        <v>48224274</v>
      </c>
      <c r="BV31" s="898"/>
      <c r="BW31" s="894">
        <f>SUM(BW6:BW30)</f>
        <v>50721795</v>
      </c>
      <c r="BX31" s="894">
        <f>SUM(BX6:BX30)</f>
        <v>762854</v>
      </c>
      <c r="BY31" s="894">
        <f>SUM(BY6:BY30)</f>
        <v>0</v>
      </c>
      <c r="BZ31" s="894">
        <f>SUM(BZ6:BZ30)</f>
        <v>17010</v>
      </c>
      <c r="CA31" s="918">
        <f>+BW31+BX31+BY31-BZ31</f>
        <v>51467639</v>
      </c>
      <c r="CB31" s="898"/>
      <c r="CC31" s="894">
        <f>SUM(CC6:CC30)</f>
        <v>0</v>
      </c>
      <c r="CD31" s="894">
        <f>SUM(CD6:CD30)</f>
        <v>0</v>
      </c>
      <c r="CE31" s="894">
        <f>SUM(CE6:CE30)</f>
        <v>0</v>
      </c>
      <c r="CF31" s="894">
        <f>SUM(CF6:CF30)</f>
        <v>0</v>
      </c>
      <c r="CG31" s="918">
        <f>+CC31+CD31+CE31-CF31</f>
        <v>0</v>
      </c>
      <c r="CH31" s="898"/>
      <c r="CI31" s="894">
        <f>SUM(CI6:CI30)</f>
        <v>238229531</v>
      </c>
      <c r="CJ31" s="894">
        <f>SUM(CJ6:CJ30)</f>
        <v>375799</v>
      </c>
      <c r="CK31" s="894">
        <f>SUM(CK6:CK30)</f>
        <v>0</v>
      </c>
      <c r="CL31" s="894">
        <f>SUM(CL6:CL30)</f>
        <v>172875</v>
      </c>
      <c r="CM31" s="918">
        <f>+CI31+CJ31+CK31-CL31</f>
        <v>238432455</v>
      </c>
      <c r="CN31" s="898"/>
      <c r="CO31" s="894">
        <f>SUM(CO6:CO30)</f>
        <v>85050045</v>
      </c>
      <c r="CP31" s="894">
        <f>SUM(CP6:CP30)</f>
        <v>0</v>
      </c>
      <c r="CQ31" s="894">
        <f>SUM(CQ6:CQ30)</f>
        <v>0</v>
      </c>
      <c r="CR31" s="894">
        <f>SUM(CR6:CR30)</f>
        <v>0</v>
      </c>
      <c r="CS31" s="918">
        <f>+CO31+CP31+CQ31-CR31</f>
        <v>85050045</v>
      </c>
      <c r="CT31" s="898"/>
    </row>
    <row r="32" spans="2:98" ht="12" thickBot="1">
      <c r="B32" s="920" t="s">
        <v>909</v>
      </c>
      <c r="C32" s="921"/>
      <c r="D32" s="921"/>
      <c r="E32" s="922"/>
      <c r="F32" s="921"/>
      <c r="G32" s="918">
        <f>+C32+D32+E32-F32</f>
        <v>0</v>
      </c>
      <c r="H32" s="894"/>
      <c r="I32" s="921"/>
      <c r="J32" s="921"/>
      <c r="K32" s="922"/>
      <c r="L32" s="921"/>
      <c r="M32" s="918">
        <f>+I32+J32+K32-L32</f>
        <v>0</v>
      </c>
      <c r="N32" s="894"/>
      <c r="O32" s="921"/>
      <c r="P32" s="921"/>
      <c r="Q32" s="922"/>
      <c r="R32" s="921"/>
      <c r="S32" s="918">
        <f>+O32+P32+Q32-R32</f>
        <v>0</v>
      </c>
      <c r="T32" s="894"/>
      <c r="U32" s="921"/>
      <c r="V32" s="921"/>
      <c r="W32" s="922"/>
      <c r="X32" s="921"/>
      <c r="Y32" s="918"/>
      <c r="Z32" s="894"/>
      <c r="AA32" s="921">
        <v>9456721</v>
      </c>
      <c r="AB32" s="921">
        <v>377422</v>
      </c>
      <c r="AC32" s="894"/>
      <c r="AD32" s="894">
        <v>107488</v>
      </c>
      <c r="AE32" s="918">
        <f>+AA32+AB32+AC32-AD32</f>
        <v>9726655</v>
      </c>
      <c r="AF32" s="894"/>
      <c r="AG32" s="921"/>
      <c r="AH32" s="921"/>
      <c r="AI32" s="922"/>
      <c r="AJ32" s="921"/>
      <c r="AK32" s="918">
        <f>+AG32+AH32+AI32-AJ32</f>
        <v>0</v>
      </c>
      <c r="AL32" s="894"/>
      <c r="AM32" s="921"/>
      <c r="AN32" s="921"/>
      <c r="AO32" s="922"/>
      <c r="AP32" s="921"/>
      <c r="AQ32" s="918">
        <f>+AM32+AN32+AO32-AP32</f>
        <v>0</v>
      </c>
      <c r="AR32" s="894"/>
      <c r="AS32" s="921"/>
      <c r="AT32" s="921"/>
      <c r="AU32" s="922"/>
      <c r="AV32" s="921"/>
      <c r="AW32" s="918">
        <f>+AS32+AT32+AU32-AV32</f>
        <v>0</v>
      </c>
      <c r="AX32" s="894"/>
      <c r="AY32" s="921"/>
      <c r="AZ32" s="921"/>
      <c r="BA32" s="922"/>
      <c r="BB32" s="921"/>
      <c r="BC32" s="918">
        <f>+AY32+AZ32+BA32-BB32</f>
        <v>0</v>
      </c>
      <c r="BD32" s="894"/>
      <c r="BE32" s="921"/>
      <c r="BF32" s="923"/>
      <c r="BG32" s="922"/>
      <c r="BH32" s="921"/>
      <c r="BI32" s="918">
        <f>+BE32+BF32+BG32-BH32</f>
        <v>0</v>
      </c>
      <c r="BJ32" s="894"/>
      <c r="BK32" s="921"/>
      <c r="BL32" s="921"/>
      <c r="BM32" s="922"/>
      <c r="BN32" s="921"/>
      <c r="BO32" s="918">
        <f>+BK32+BL32+BM32-BN32</f>
        <v>0</v>
      </c>
      <c r="BP32" s="894"/>
      <c r="BQ32" s="921"/>
      <c r="BR32" s="921"/>
      <c r="BS32" s="922"/>
      <c r="BT32" s="921"/>
      <c r="BU32" s="918">
        <f>+BQ32+BR32+BS32-BT32</f>
        <v>0</v>
      </c>
      <c r="BV32" s="894"/>
      <c r="BW32" s="921"/>
      <c r="BX32" s="921"/>
      <c r="BY32" s="922"/>
      <c r="BZ32" s="921"/>
      <c r="CA32" s="918">
        <f>+BW32+BX32+BY32-BZ32</f>
        <v>0</v>
      </c>
      <c r="CB32" s="894"/>
      <c r="CC32" s="921"/>
      <c r="CD32" s="921"/>
      <c r="CE32" s="922"/>
      <c r="CF32" s="921"/>
      <c r="CG32" s="918">
        <f>+CC32+CD32+CE32-CF32</f>
        <v>0</v>
      </c>
      <c r="CH32" s="894"/>
      <c r="CI32" s="921"/>
      <c r="CJ32" s="921"/>
      <c r="CK32" s="922"/>
      <c r="CL32" s="921"/>
      <c r="CM32" s="918">
        <f>+CI32+CJ32+CK32-CL32</f>
        <v>0</v>
      </c>
      <c r="CN32" s="894"/>
      <c r="CO32" s="921"/>
      <c r="CP32" s="921"/>
      <c r="CQ32" s="922"/>
      <c r="CR32" s="921"/>
      <c r="CS32" s="918">
        <f>+CO32+CP32+CQ32-CR32</f>
        <v>0</v>
      </c>
      <c r="CT32" s="894"/>
    </row>
    <row r="34" spans="2:98">
      <c r="G34" s="885">
        <f>G31-H63</f>
        <v>576766959</v>
      </c>
      <c r="M34" s="885">
        <f>M31-N63</f>
        <v>31716856</v>
      </c>
      <c r="S34" s="885">
        <f>S31-T63</f>
        <v>410395897</v>
      </c>
      <c r="Y34" s="885">
        <f>Y31-Z63</f>
        <v>1170257</v>
      </c>
      <c r="AE34" s="885">
        <f>AE31-AF63</f>
        <v>2747095</v>
      </c>
      <c r="AK34" s="885">
        <f>AK31-AL63</f>
        <v>0</v>
      </c>
      <c r="AQ34" s="885">
        <f>AQ31-AR63</f>
        <v>46875310</v>
      </c>
      <c r="AW34" s="885">
        <f>AW31-AX63</f>
        <v>2623289</v>
      </c>
      <c r="BC34" s="885">
        <f>BC31-BD63</f>
        <v>34479238</v>
      </c>
      <c r="BI34" s="885">
        <f>BI31-BJ63</f>
        <v>8344027</v>
      </c>
      <c r="BO34" s="885">
        <f>BO31-BP63</f>
        <v>7450213</v>
      </c>
      <c r="BU34" s="885">
        <f>BU31-BV63</f>
        <v>15273907</v>
      </c>
      <c r="CA34" s="885">
        <f>CA31-CB63</f>
        <v>13031145</v>
      </c>
      <c r="CG34" s="885">
        <f>CG31-CH63</f>
        <v>0</v>
      </c>
      <c r="CM34" s="885">
        <f>CM31-CN63</f>
        <v>1455037</v>
      </c>
      <c r="CS34" s="885">
        <f>CS31-CT63</f>
        <v>1204688</v>
      </c>
    </row>
    <row r="35" spans="2:98" ht="12" thickBot="1">
      <c r="G35" s="888" t="s">
        <v>1307</v>
      </c>
      <c r="M35" s="888" t="s">
        <v>1307</v>
      </c>
      <c r="S35" s="888" t="s">
        <v>1307</v>
      </c>
      <c r="Y35" s="888" t="s">
        <v>1307</v>
      </c>
      <c r="AE35" s="888" t="s">
        <v>1307</v>
      </c>
      <c r="AK35" s="888" t="s">
        <v>1307</v>
      </c>
      <c r="AQ35" s="888" t="s">
        <v>1307</v>
      </c>
      <c r="AW35" s="888" t="s">
        <v>1307</v>
      </c>
      <c r="BC35" s="888" t="s">
        <v>1307</v>
      </c>
      <c r="BI35" s="888" t="s">
        <v>1307</v>
      </c>
      <c r="BO35" s="888" t="s">
        <v>1307</v>
      </c>
      <c r="BU35" s="888"/>
      <c r="CA35" s="888"/>
      <c r="CG35" s="888"/>
      <c r="CM35" s="888"/>
      <c r="CS35" s="888"/>
    </row>
    <row r="36" spans="2:98" s="888" customFormat="1" ht="12" customHeight="1" thickBot="1">
      <c r="B36" s="925"/>
      <c r="C36" s="1614" t="s">
        <v>860</v>
      </c>
      <c r="D36" s="1615"/>
      <c r="E36" s="1615"/>
      <c r="F36" s="1615"/>
      <c r="G36" s="1615"/>
      <c r="H36" s="1616"/>
      <c r="I36" s="1617" t="s">
        <v>17</v>
      </c>
      <c r="J36" s="1618"/>
      <c r="K36" s="1618"/>
      <c r="L36" s="1618"/>
      <c r="M36" s="1618"/>
      <c r="N36" s="1619"/>
      <c r="O36" s="1614" t="s">
        <v>18</v>
      </c>
      <c r="P36" s="1615"/>
      <c r="Q36" s="1615"/>
      <c r="R36" s="1615"/>
      <c r="S36" s="1615"/>
      <c r="T36" s="1616"/>
      <c r="U36" s="1617" t="s">
        <v>19</v>
      </c>
      <c r="V36" s="1618"/>
      <c r="W36" s="1618"/>
      <c r="X36" s="1618"/>
      <c r="Y36" s="1618"/>
      <c r="Z36" s="1619"/>
      <c r="AA36" s="1614" t="s">
        <v>20</v>
      </c>
      <c r="AB36" s="1615"/>
      <c r="AC36" s="1615"/>
      <c r="AD36" s="1615"/>
      <c r="AE36" s="1615"/>
      <c r="AF36" s="1616"/>
      <c r="AG36" s="1617" t="s">
        <v>21</v>
      </c>
      <c r="AH36" s="1618"/>
      <c r="AI36" s="1618"/>
      <c r="AJ36" s="1618"/>
      <c r="AK36" s="1618"/>
      <c r="AL36" s="1619"/>
      <c r="AM36" s="1614" t="s">
        <v>22</v>
      </c>
      <c r="AN36" s="1615"/>
      <c r="AO36" s="1615"/>
      <c r="AP36" s="1615"/>
      <c r="AQ36" s="1615"/>
      <c r="AR36" s="1616"/>
      <c r="AS36" s="1617" t="s">
        <v>23</v>
      </c>
      <c r="AT36" s="1618"/>
      <c r="AU36" s="1618"/>
      <c r="AV36" s="1618"/>
      <c r="AW36" s="1618"/>
      <c r="AX36" s="1619"/>
      <c r="AY36" s="1614" t="s">
        <v>24</v>
      </c>
      <c r="AZ36" s="1615"/>
      <c r="BA36" s="1615"/>
      <c r="BB36" s="1615"/>
      <c r="BC36" s="1615"/>
      <c r="BD36" s="1616"/>
      <c r="BE36" s="1617" t="s">
        <v>25</v>
      </c>
      <c r="BF36" s="1618"/>
      <c r="BG36" s="1618"/>
      <c r="BH36" s="1618"/>
      <c r="BI36" s="1618"/>
      <c r="BJ36" s="1619"/>
      <c r="BK36" s="1614" t="s">
        <v>26</v>
      </c>
      <c r="BL36" s="1615"/>
      <c r="BM36" s="1615"/>
      <c r="BN36" s="1615"/>
      <c r="BO36" s="1615"/>
      <c r="BP36" s="1616"/>
      <c r="BQ36" s="1617" t="s">
        <v>27</v>
      </c>
      <c r="BR36" s="1618"/>
      <c r="BS36" s="1618"/>
      <c r="BT36" s="1618"/>
      <c r="BU36" s="1618"/>
      <c r="BV36" s="1619"/>
      <c r="BW36" s="1614" t="s">
        <v>28</v>
      </c>
      <c r="BX36" s="1615"/>
      <c r="BY36" s="1615"/>
      <c r="BZ36" s="1615"/>
      <c r="CA36" s="1615"/>
      <c r="CB36" s="1616"/>
      <c r="CC36" s="1617" t="s">
        <v>697</v>
      </c>
      <c r="CD36" s="1618"/>
      <c r="CE36" s="1618"/>
      <c r="CF36" s="1618"/>
      <c r="CG36" s="1618"/>
      <c r="CH36" s="1619"/>
      <c r="CI36" s="1614" t="s">
        <v>30</v>
      </c>
      <c r="CJ36" s="1615"/>
      <c r="CK36" s="1615"/>
      <c r="CL36" s="1615"/>
      <c r="CM36" s="1615"/>
      <c r="CN36" s="1616"/>
      <c r="CO36" s="1617" t="s">
        <v>31</v>
      </c>
      <c r="CP36" s="1618"/>
      <c r="CQ36" s="1618"/>
      <c r="CR36" s="1618"/>
      <c r="CS36" s="1618"/>
      <c r="CT36" s="1619"/>
    </row>
    <row r="37" spans="2:98" ht="48" customHeight="1" thickBot="1">
      <c r="B37" s="926" t="s">
        <v>170</v>
      </c>
      <c r="C37" s="927" t="s">
        <v>1308</v>
      </c>
      <c r="D37" s="928" t="s">
        <v>921</v>
      </c>
      <c r="E37" s="929" t="s">
        <v>922</v>
      </c>
      <c r="F37" s="928" t="s">
        <v>859</v>
      </c>
      <c r="G37" s="930" t="s">
        <v>923</v>
      </c>
      <c r="H37" s="930" t="s">
        <v>1309</v>
      </c>
      <c r="I37" s="927" t="s">
        <v>1308</v>
      </c>
      <c r="J37" s="928" t="s">
        <v>921</v>
      </c>
      <c r="K37" s="929" t="s">
        <v>922</v>
      </c>
      <c r="L37" s="928" t="s">
        <v>859</v>
      </c>
      <c r="M37" s="930" t="s">
        <v>923</v>
      </c>
      <c r="N37" s="930" t="s">
        <v>1309</v>
      </c>
      <c r="O37" s="927" t="s">
        <v>1308</v>
      </c>
      <c r="P37" s="928" t="s">
        <v>921</v>
      </c>
      <c r="Q37" s="929" t="s">
        <v>922</v>
      </c>
      <c r="R37" s="928" t="s">
        <v>859</v>
      </c>
      <c r="S37" s="930" t="s">
        <v>923</v>
      </c>
      <c r="T37" s="930" t="s">
        <v>1309</v>
      </c>
      <c r="U37" s="927" t="s">
        <v>1308</v>
      </c>
      <c r="V37" s="928" t="s">
        <v>921</v>
      </c>
      <c r="W37" s="929" t="s">
        <v>922</v>
      </c>
      <c r="X37" s="928" t="s">
        <v>859</v>
      </c>
      <c r="Y37" s="930" t="s">
        <v>923</v>
      </c>
      <c r="Z37" s="930" t="s">
        <v>1309</v>
      </c>
      <c r="AA37" s="927" t="s">
        <v>1308</v>
      </c>
      <c r="AB37" s="928" t="s">
        <v>921</v>
      </c>
      <c r="AC37" s="929" t="s">
        <v>922</v>
      </c>
      <c r="AD37" s="928" t="s">
        <v>859</v>
      </c>
      <c r="AE37" s="930" t="s">
        <v>923</v>
      </c>
      <c r="AF37" s="930" t="s">
        <v>1309</v>
      </c>
      <c r="AG37" s="927" t="s">
        <v>1308</v>
      </c>
      <c r="AH37" s="928" t="s">
        <v>921</v>
      </c>
      <c r="AI37" s="929" t="s">
        <v>922</v>
      </c>
      <c r="AJ37" s="928" t="s">
        <v>859</v>
      </c>
      <c r="AK37" s="930" t="s">
        <v>923</v>
      </c>
      <c r="AL37" s="930" t="s">
        <v>1309</v>
      </c>
      <c r="AM37" s="927" t="s">
        <v>1308</v>
      </c>
      <c r="AN37" s="928" t="s">
        <v>921</v>
      </c>
      <c r="AO37" s="929" t="s">
        <v>922</v>
      </c>
      <c r="AP37" s="928" t="s">
        <v>859</v>
      </c>
      <c r="AQ37" s="930" t="s">
        <v>923</v>
      </c>
      <c r="AR37" s="930" t="s">
        <v>1309</v>
      </c>
      <c r="AS37" s="927" t="s">
        <v>1308</v>
      </c>
      <c r="AT37" s="928" t="s">
        <v>921</v>
      </c>
      <c r="AU37" s="929" t="s">
        <v>922</v>
      </c>
      <c r="AV37" s="928" t="s">
        <v>859</v>
      </c>
      <c r="AW37" s="930" t="s">
        <v>923</v>
      </c>
      <c r="AX37" s="930" t="s">
        <v>1309</v>
      </c>
      <c r="AY37" s="927" t="s">
        <v>1308</v>
      </c>
      <c r="AZ37" s="928" t="s">
        <v>921</v>
      </c>
      <c r="BA37" s="929" t="s">
        <v>922</v>
      </c>
      <c r="BB37" s="928" t="s">
        <v>859</v>
      </c>
      <c r="BC37" s="930" t="s">
        <v>923</v>
      </c>
      <c r="BD37" s="930" t="s">
        <v>1309</v>
      </c>
      <c r="BE37" s="927" t="s">
        <v>1308</v>
      </c>
      <c r="BF37" s="931" t="s">
        <v>921</v>
      </c>
      <c r="BG37" s="929" t="s">
        <v>922</v>
      </c>
      <c r="BH37" s="928" t="s">
        <v>859</v>
      </c>
      <c r="BI37" s="930" t="s">
        <v>923</v>
      </c>
      <c r="BJ37" s="930" t="s">
        <v>1309</v>
      </c>
      <c r="BK37" s="927" t="s">
        <v>1308</v>
      </c>
      <c r="BL37" s="928" t="s">
        <v>921</v>
      </c>
      <c r="BM37" s="929" t="s">
        <v>922</v>
      </c>
      <c r="BN37" s="928" t="s">
        <v>859</v>
      </c>
      <c r="BO37" s="930" t="s">
        <v>923</v>
      </c>
      <c r="BP37" s="930" t="s">
        <v>1309</v>
      </c>
      <c r="BQ37" s="927" t="s">
        <v>1308</v>
      </c>
      <c r="BR37" s="928" t="s">
        <v>921</v>
      </c>
      <c r="BS37" s="929" t="s">
        <v>922</v>
      </c>
      <c r="BT37" s="928" t="s">
        <v>859</v>
      </c>
      <c r="BU37" s="930" t="s">
        <v>923</v>
      </c>
      <c r="BV37" s="930" t="s">
        <v>1309</v>
      </c>
      <c r="BW37" s="927" t="s">
        <v>1308</v>
      </c>
      <c r="BX37" s="928" t="s">
        <v>921</v>
      </c>
      <c r="BY37" s="929" t="s">
        <v>922</v>
      </c>
      <c r="BZ37" s="928" t="s">
        <v>859</v>
      </c>
      <c r="CA37" s="930" t="s">
        <v>923</v>
      </c>
      <c r="CB37" s="930" t="s">
        <v>1309</v>
      </c>
      <c r="CC37" s="927" t="s">
        <v>1308</v>
      </c>
      <c r="CD37" s="928" t="s">
        <v>921</v>
      </c>
      <c r="CE37" s="929" t="s">
        <v>922</v>
      </c>
      <c r="CF37" s="928" t="s">
        <v>859</v>
      </c>
      <c r="CG37" s="930" t="s">
        <v>923</v>
      </c>
      <c r="CH37" s="930" t="s">
        <v>1309</v>
      </c>
      <c r="CI37" s="927" t="s">
        <v>1308</v>
      </c>
      <c r="CJ37" s="928" t="s">
        <v>921</v>
      </c>
      <c r="CK37" s="929" t="s">
        <v>922</v>
      </c>
      <c r="CL37" s="928" t="s">
        <v>859</v>
      </c>
      <c r="CM37" s="930" t="s">
        <v>923</v>
      </c>
      <c r="CN37" s="930" t="s">
        <v>1309</v>
      </c>
      <c r="CO37" s="927" t="s">
        <v>1308</v>
      </c>
      <c r="CP37" s="928" t="s">
        <v>921</v>
      </c>
      <c r="CQ37" s="929" t="s">
        <v>922</v>
      </c>
      <c r="CR37" s="928" t="s">
        <v>859</v>
      </c>
      <c r="CS37" s="930" t="s">
        <v>923</v>
      </c>
      <c r="CT37" s="930" t="s">
        <v>1309</v>
      </c>
    </row>
    <row r="38" spans="2:98">
      <c r="B38" s="932" t="s">
        <v>910</v>
      </c>
      <c r="C38" s="898"/>
      <c r="D38" s="898"/>
      <c r="E38" s="898"/>
      <c r="F38" s="898"/>
      <c r="G38" s="898"/>
      <c r="H38" s="933"/>
      <c r="I38" s="898"/>
      <c r="J38" s="901"/>
      <c r="K38" s="902"/>
      <c r="L38" s="901"/>
      <c r="M38" s="933"/>
      <c r="N38" s="933"/>
      <c r="O38" s="898"/>
      <c r="P38" s="901"/>
      <c r="Q38" s="902"/>
      <c r="R38" s="901"/>
      <c r="S38" s="899"/>
      <c r="T38" s="933"/>
      <c r="U38" s="898"/>
      <c r="V38" s="901"/>
      <c r="W38" s="902"/>
      <c r="X38" s="901"/>
      <c r="Y38" s="899"/>
      <c r="Z38" s="933"/>
      <c r="AA38" s="898"/>
      <c r="AB38" s="901"/>
      <c r="AC38" s="902"/>
      <c r="AD38" s="901"/>
      <c r="AE38" s="933"/>
      <c r="AF38" s="933"/>
      <c r="AG38" s="898"/>
      <c r="AH38" s="901"/>
      <c r="AI38" s="902"/>
      <c r="AJ38" s="901"/>
      <c r="AK38" s="933"/>
      <c r="AL38" s="933"/>
      <c r="AM38" s="898"/>
      <c r="AN38" s="901"/>
      <c r="AO38" s="902"/>
      <c r="AP38" s="901"/>
      <c r="AQ38" s="933"/>
      <c r="AR38" s="933"/>
      <c r="AS38" s="898"/>
      <c r="AT38" s="901"/>
      <c r="AU38" s="902"/>
      <c r="AV38" s="901"/>
      <c r="AW38" s="933"/>
      <c r="AX38" s="933"/>
      <c r="AY38" s="898"/>
      <c r="AZ38" s="901"/>
      <c r="BA38" s="902"/>
      <c r="BB38" s="901"/>
      <c r="BC38" s="933"/>
      <c r="BD38" s="933"/>
      <c r="BE38" s="898"/>
      <c r="BF38" s="903"/>
      <c r="BG38" s="902"/>
      <c r="BH38" s="901"/>
      <c r="BI38" s="899"/>
      <c r="BJ38" s="933"/>
      <c r="BK38" s="898"/>
      <c r="BL38" s="901"/>
      <c r="BM38" s="902"/>
      <c r="BN38" s="901"/>
      <c r="BO38" s="933"/>
      <c r="BP38" s="933"/>
      <c r="BQ38" s="898"/>
      <c r="BR38" s="901"/>
      <c r="BS38" s="902"/>
      <c r="BT38" s="901"/>
      <c r="BU38" s="933"/>
      <c r="BV38" s="933"/>
      <c r="BW38" s="898"/>
      <c r="BX38" s="901"/>
      <c r="BY38" s="902"/>
      <c r="BZ38" s="901"/>
      <c r="CA38" s="933"/>
      <c r="CB38" s="933"/>
      <c r="CC38" s="898"/>
      <c r="CD38" s="901"/>
      <c r="CE38" s="902"/>
      <c r="CF38" s="901"/>
      <c r="CG38" s="933"/>
      <c r="CH38" s="933"/>
      <c r="CI38" s="898"/>
      <c r="CJ38" s="901"/>
      <c r="CK38" s="902"/>
      <c r="CL38" s="901"/>
      <c r="CM38" s="933"/>
      <c r="CN38" s="933"/>
      <c r="CO38" s="898"/>
      <c r="CP38" s="901"/>
      <c r="CQ38" s="902"/>
      <c r="CR38" s="901"/>
      <c r="CS38" s="933"/>
      <c r="CT38" s="933"/>
    </row>
    <row r="39" spans="2:98">
      <c r="B39" s="905" t="s">
        <v>392</v>
      </c>
      <c r="C39" s="900">
        <f t="shared" ref="C39:G57" si="24">I39+O39+U39+AA39+AG39+AM39+AS39+AY39+BE39+BK39+BQ39+BW39+CC39+CI39+CO39</f>
        <v>0</v>
      </c>
      <c r="D39" s="900">
        <f t="shared" si="24"/>
        <v>0</v>
      </c>
      <c r="E39" s="900">
        <f t="shared" si="24"/>
        <v>0</v>
      </c>
      <c r="F39" s="900">
        <f>C39+D39+E39</f>
        <v>0</v>
      </c>
      <c r="G39" s="900">
        <f>M39+S39+Y39+AE39+AK39+AQ39+AW39+BC39+BI39+BO39+BU39+CA39+CG39+CM39+CS39</f>
        <v>0</v>
      </c>
      <c r="H39" s="906">
        <f>+F39-G39</f>
        <v>0</v>
      </c>
      <c r="I39" s="900"/>
      <c r="J39" s="907"/>
      <c r="K39" s="908"/>
      <c r="L39" s="900">
        <f>I39+J39+K39</f>
        <v>0</v>
      </c>
      <c r="M39" s="934"/>
      <c r="N39" s="906">
        <f>+L39-M39</f>
        <v>0</v>
      </c>
      <c r="O39" s="900"/>
      <c r="P39" s="907"/>
      <c r="Q39" s="908"/>
      <c r="R39" s="900">
        <f>O39+P39+Q39</f>
        <v>0</v>
      </c>
      <c r="S39" s="906"/>
      <c r="T39" s="906">
        <f>+R39-S39</f>
        <v>0</v>
      </c>
      <c r="U39" s="900"/>
      <c r="V39" s="907"/>
      <c r="W39" s="908"/>
      <c r="X39" s="900">
        <f>U39+V39+W39</f>
        <v>0</v>
      </c>
      <c r="Y39" s="906"/>
      <c r="Z39" s="906">
        <f>+X39-Y39</f>
        <v>0</v>
      </c>
      <c r="AA39" s="900"/>
      <c r="AB39" s="907"/>
      <c r="AC39" s="908"/>
      <c r="AD39" s="900">
        <f>AA39+AB39+AC39</f>
        <v>0</v>
      </c>
      <c r="AE39" s="934"/>
      <c r="AF39" s="906">
        <f>+AD39-AE39</f>
        <v>0</v>
      </c>
      <c r="AG39" s="900"/>
      <c r="AH39" s="907"/>
      <c r="AI39" s="908"/>
      <c r="AJ39" s="900">
        <f>AG39+AH39+AI39</f>
        <v>0</v>
      </c>
      <c r="AK39" s="934"/>
      <c r="AL39" s="906">
        <f>+AJ39-AK39</f>
        <v>0</v>
      </c>
      <c r="AM39" s="900"/>
      <c r="AN39" s="907"/>
      <c r="AO39" s="908"/>
      <c r="AP39" s="900">
        <f>AM39+AN39+AO39</f>
        <v>0</v>
      </c>
      <c r="AQ39" s="934"/>
      <c r="AR39" s="906">
        <f>+AP39-AQ39</f>
        <v>0</v>
      </c>
      <c r="AS39" s="900"/>
      <c r="AT39" s="907"/>
      <c r="AU39" s="908"/>
      <c r="AV39" s="900">
        <f>AS39+AT39+AU39</f>
        <v>0</v>
      </c>
      <c r="AW39" s="934"/>
      <c r="AX39" s="906">
        <f>+AV39-AW39</f>
        <v>0</v>
      </c>
      <c r="AY39" s="900"/>
      <c r="AZ39" s="907"/>
      <c r="BA39" s="908"/>
      <c r="BB39" s="900">
        <f>AY39+AZ39+BA39</f>
        <v>0</v>
      </c>
      <c r="BC39" s="934"/>
      <c r="BD39" s="906">
        <f>+BB39-BC39</f>
        <v>0</v>
      </c>
      <c r="BE39" s="900"/>
      <c r="BF39" s="909"/>
      <c r="BG39" s="908"/>
      <c r="BH39" s="900">
        <f>BE39+BF39+BG39</f>
        <v>0</v>
      </c>
      <c r="BI39" s="906"/>
      <c r="BJ39" s="906">
        <f>+BH39-BI39</f>
        <v>0</v>
      </c>
      <c r="BK39" s="900"/>
      <c r="BL39" s="907"/>
      <c r="BM39" s="908"/>
      <c r="BN39" s="900">
        <f>BK39+BL39+BM39</f>
        <v>0</v>
      </c>
      <c r="BO39" s="934"/>
      <c r="BP39" s="906">
        <f>+BN39-BO39</f>
        <v>0</v>
      </c>
      <c r="BQ39" s="900"/>
      <c r="BR39" s="907"/>
      <c r="BS39" s="908"/>
      <c r="BT39" s="900">
        <f>BQ39+BR39+BS39</f>
        <v>0</v>
      </c>
      <c r="BU39" s="934"/>
      <c r="BV39" s="906">
        <f>+BT39-BU39</f>
        <v>0</v>
      </c>
      <c r="BW39" s="900"/>
      <c r="BX39" s="907"/>
      <c r="BY39" s="908"/>
      <c r="BZ39" s="900">
        <f>BW39+BX39+BY39</f>
        <v>0</v>
      </c>
      <c r="CA39" s="934"/>
      <c r="CB39" s="906">
        <f>+BZ39-CA39</f>
        <v>0</v>
      </c>
      <c r="CC39" s="900"/>
      <c r="CD39" s="907"/>
      <c r="CE39" s="908"/>
      <c r="CF39" s="900">
        <f>CC39+CD39+CE39</f>
        <v>0</v>
      </c>
      <c r="CG39" s="934"/>
      <c r="CH39" s="906">
        <f>+CF39-CG39</f>
        <v>0</v>
      </c>
      <c r="CI39" s="900"/>
      <c r="CJ39" s="907"/>
      <c r="CK39" s="908"/>
      <c r="CL39" s="900">
        <f>CI39+CJ39+CK39</f>
        <v>0</v>
      </c>
      <c r="CM39" s="934"/>
      <c r="CN39" s="906">
        <f>+CL39-CM39</f>
        <v>0</v>
      </c>
      <c r="CO39" s="900"/>
      <c r="CP39" s="907"/>
      <c r="CQ39" s="908"/>
      <c r="CR39" s="900">
        <f>CO39+CP39+CQ39</f>
        <v>0</v>
      </c>
      <c r="CS39" s="934"/>
      <c r="CT39" s="906">
        <f>+CR39-CS39</f>
        <v>0</v>
      </c>
    </row>
    <row r="40" spans="2:98">
      <c r="B40" s="905" t="s">
        <v>393</v>
      </c>
      <c r="C40" s="900">
        <f t="shared" si="24"/>
        <v>0</v>
      </c>
      <c r="D40" s="900">
        <f t="shared" si="24"/>
        <v>0</v>
      </c>
      <c r="E40" s="900">
        <f t="shared" si="24"/>
        <v>0</v>
      </c>
      <c r="F40" s="900">
        <f>C40+D40+E40</f>
        <v>0</v>
      </c>
      <c r="G40" s="900">
        <f>M40+S40+Y40+AE40+AK40+AQ40+AW40+BC40+BI40+BO40+BU40+CA40+CG40+CM40+CS40</f>
        <v>0</v>
      </c>
      <c r="H40" s="906">
        <f>+F40-G40</f>
        <v>0</v>
      </c>
      <c r="I40" s="900"/>
      <c r="J40" s="907"/>
      <c r="K40" s="908"/>
      <c r="L40" s="900">
        <f t="shared" ref="L40:L61" si="25">I40+J40+K40</f>
        <v>0</v>
      </c>
      <c r="M40" s="934"/>
      <c r="N40" s="906">
        <f t="shared" ref="N40:N61" si="26">+L40-M40</f>
        <v>0</v>
      </c>
      <c r="O40" s="900"/>
      <c r="P40" s="907"/>
      <c r="Q40" s="908"/>
      <c r="R40" s="900">
        <f t="shared" ref="R40:R61" si="27">O40+P40+Q40</f>
        <v>0</v>
      </c>
      <c r="S40" s="906"/>
      <c r="T40" s="906">
        <f t="shared" ref="T40:T61" si="28">+R40-S40</f>
        <v>0</v>
      </c>
      <c r="U40" s="900"/>
      <c r="V40" s="907"/>
      <c r="W40" s="908"/>
      <c r="X40" s="900">
        <f t="shared" ref="X40:X61" si="29">U40+V40+W40</f>
        <v>0</v>
      </c>
      <c r="Y40" s="906"/>
      <c r="Z40" s="906">
        <f t="shared" ref="Z40:Z61" si="30">+X40-Y40</f>
        <v>0</v>
      </c>
      <c r="AA40" s="900"/>
      <c r="AB40" s="907"/>
      <c r="AC40" s="908"/>
      <c r="AD40" s="900">
        <f t="shared" ref="AD40:AD61" si="31">AA40+AB40+AC40</f>
        <v>0</v>
      </c>
      <c r="AE40" s="934"/>
      <c r="AF40" s="906">
        <f t="shared" ref="AF40:AF61" si="32">+AD40-AE40</f>
        <v>0</v>
      </c>
      <c r="AG40" s="900"/>
      <c r="AH40" s="907"/>
      <c r="AI40" s="908"/>
      <c r="AJ40" s="900">
        <f t="shared" ref="AJ40:AJ61" si="33">AG40+AH40+AI40</f>
        <v>0</v>
      </c>
      <c r="AK40" s="934"/>
      <c r="AL40" s="906">
        <f t="shared" ref="AL40:AL61" si="34">+AJ40-AK40</f>
        <v>0</v>
      </c>
      <c r="AM40" s="900"/>
      <c r="AN40" s="907"/>
      <c r="AO40" s="908"/>
      <c r="AP40" s="900">
        <f t="shared" ref="AP40:AP61" si="35">AM40+AN40+AO40</f>
        <v>0</v>
      </c>
      <c r="AQ40" s="934"/>
      <c r="AR40" s="906">
        <f t="shared" ref="AR40:AR60" si="36">+AP40-AQ40</f>
        <v>0</v>
      </c>
      <c r="AS40" s="900"/>
      <c r="AT40" s="907"/>
      <c r="AU40" s="908"/>
      <c r="AV40" s="900">
        <f t="shared" ref="AV40:AV61" si="37">AS40+AT40+AU40</f>
        <v>0</v>
      </c>
      <c r="AW40" s="934"/>
      <c r="AX40" s="906">
        <f t="shared" ref="AX40:AX61" si="38">+AV40-AW40</f>
        <v>0</v>
      </c>
      <c r="AY40" s="900"/>
      <c r="AZ40" s="907"/>
      <c r="BA40" s="908"/>
      <c r="BB40" s="900">
        <f t="shared" ref="BB40:BB61" si="39">AY40+AZ40+BA40</f>
        <v>0</v>
      </c>
      <c r="BC40" s="934"/>
      <c r="BD40" s="906">
        <f t="shared" ref="BD40:BD61" si="40">+BB40-BC40</f>
        <v>0</v>
      </c>
      <c r="BE40" s="900"/>
      <c r="BF40" s="909"/>
      <c r="BG40" s="908"/>
      <c r="BH40" s="900">
        <f t="shared" ref="BH40:BH61" si="41">BE40+BF40+BG40</f>
        <v>0</v>
      </c>
      <c r="BI40" s="906"/>
      <c r="BJ40" s="906">
        <f t="shared" ref="BJ40:BJ61" si="42">+BH40-BI40</f>
        <v>0</v>
      </c>
      <c r="BK40" s="900"/>
      <c r="BL40" s="907"/>
      <c r="BM40" s="908"/>
      <c r="BN40" s="900">
        <f t="shared" ref="BN40:BN61" si="43">BK40+BL40+BM40</f>
        <v>0</v>
      </c>
      <c r="BO40" s="934"/>
      <c r="BP40" s="906">
        <f t="shared" ref="BP40:BP61" si="44">+BN40-BO40</f>
        <v>0</v>
      </c>
      <c r="BQ40" s="900"/>
      <c r="BR40" s="907"/>
      <c r="BS40" s="908"/>
      <c r="BT40" s="900">
        <f t="shared" ref="BT40:BT61" si="45">BQ40+BR40+BS40</f>
        <v>0</v>
      </c>
      <c r="BU40" s="934"/>
      <c r="BV40" s="906">
        <f t="shared" ref="BV40:BV61" si="46">+BT40-BU40</f>
        <v>0</v>
      </c>
      <c r="BW40" s="900"/>
      <c r="BX40" s="907"/>
      <c r="BY40" s="908"/>
      <c r="BZ40" s="900">
        <f t="shared" ref="BZ40:BZ61" si="47">BW40+BX40+BY40</f>
        <v>0</v>
      </c>
      <c r="CA40" s="934"/>
      <c r="CB40" s="906">
        <f t="shared" ref="CB40:CB61" si="48">+BZ40-CA40</f>
        <v>0</v>
      </c>
      <c r="CC40" s="900"/>
      <c r="CD40" s="907"/>
      <c r="CE40" s="908"/>
      <c r="CF40" s="900">
        <f t="shared" ref="CF40:CF61" si="49">CC40+CD40+CE40</f>
        <v>0</v>
      </c>
      <c r="CG40" s="934"/>
      <c r="CH40" s="906">
        <f t="shared" ref="CH40:CH61" si="50">+CF40-CG40</f>
        <v>0</v>
      </c>
      <c r="CI40" s="900"/>
      <c r="CJ40" s="907"/>
      <c r="CK40" s="908"/>
      <c r="CL40" s="900">
        <f t="shared" ref="CL40:CL61" si="51">CI40+CJ40+CK40</f>
        <v>0</v>
      </c>
      <c r="CM40" s="934"/>
      <c r="CN40" s="906">
        <f t="shared" ref="CN40:CN61" si="52">+CL40-CM40</f>
        <v>0</v>
      </c>
      <c r="CO40" s="900"/>
      <c r="CP40" s="907"/>
      <c r="CQ40" s="908"/>
      <c r="CR40" s="900">
        <f t="shared" ref="CR40:CR61" si="53">CO40+CP40+CQ40</f>
        <v>0</v>
      </c>
      <c r="CS40" s="934"/>
      <c r="CT40" s="906">
        <f t="shared" ref="CT40:CT61" si="54">+CR40-CS40</f>
        <v>0</v>
      </c>
    </row>
    <row r="41" spans="2:98">
      <c r="B41" s="911" t="s">
        <v>911</v>
      </c>
      <c r="C41" s="900"/>
      <c r="D41" s="900"/>
      <c r="E41" s="900"/>
      <c r="F41" s="900"/>
      <c r="G41" s="900"/>
      <c r="H41" s="934"/>
      <c r="I41" s="900"/>
      <c r="J41" s="907"/>
      <c r="K41" s="908"/>
      <c r="L41" s="900">
        <f t="shared" si="25"/>
        <v>0</v>
      </c>
      <c r="M41" s="934"/>
      <c r="N41" s="906">
        <f t="shared" si="26"/>
        <v>0</v>
      </c>
      <c r="O41" s="900"/>
      <c r="P41" s="907"/>
      <c r="Q41" s="908"/>
      <c r="R41" s="900">
        <f t="shared" si="27"/>
        <v>0</v>
      </c>
      <c r="S41" s="906"/>
      <c r="T41" s="906">
        <f t="shared" si="28"/>
        <v>0</v>
      </c>
      <c r="U41" s="900"/>
      <c r="V41" s="909"/>
      <c r="W41" s="910"/>
      <c r="X41" s="900">
        <f t="shared" si="29"/>
        <v>0</v>
      </c>
      <c r="Y41" s="906"/>
      <c r="Z41" s="906">
        <f t="shared" si="30"/>
        <v>0</v>
      </c>
      <c r="AA41" s="900"/>
      <c r="AB41" s="907"/>
      <c r="AC41" s="908"/>
      <c r="AD41" s="900">
        <f t="shared" si="31"/>
        <v>0</v>
      </c>
      <c r="AE41" s="934"/>
      <c r="AF41" s="906">
        <f t="shared" si="32"/>
        <v>0</v>
      </c>
      <c r="AG41" s="900"/>
      <c r="AH41" s="909"/>
      <c r="AI41" s="908"/>
      <c r="AJ41" s="900">
        <f t="shared" si="33"/>
        <v>0</v>
      </c>
      <c r="AK41" s="934"/>
      <c r="AL41" s="906">
        <f t="shared" si="34"/>
        <v>0</v>
      </c>
      <c r="AM41" s="900"/>
      <c r="AN41" s="907"/>
      <c r="AO41" s="908"/>
      <c r="AP41" s="900">
        <f t="shared" si="35"/>
        <v>0</v>
      </c>
      <c r="AQ41" s="934"/>
      <c r="AR41" s="906">
        <f t="shared" si="36"/>
        <v>0</v>
      </c>
      <c r="AS41" s="900"/>
      <c r="AT41" s="907"/>
      <c r="AU41" s="908"/>
      <c r="AV41" s="900">
        <f t="shared" si="37"/>
        <v>0</v>
      </c>
      <c r="AW41" s="934"/>
      <c r="AX41" s="906">
        <f t="shared" si="38"/>
        <v>0</v>
      </c>
      <c r="AY41" s="900"/>
      <c r="AZ41" s="907"/>
      <c r="BA41" s="908"/>
      <c r="BB41" s="900">
        <f t="shared" si="39"/>
        <v>0</v>
      </c>
      <c r="BC41" s="934"/>
      <c r="BD41" s="906">
        <f t="shared" si="40"/>
        <v>0</v>
      </c>
      <c r="BE41" s="900"/>
      <c r="BF41" s="909"/>
      <c r="BG41" s="908"/>
      <c r="BH41" s="900">
        <f t="shared" si="41"/>
        <v>0</v>
      </c>
      <c r="BI41" s="906"/>
      <c r="BJ41" s="906">
        <f t="shared" si="42"/>
        <v>0</v>
      </c>
      <c r="BK41" s="900"/>
      <c r="BL41" s="907"/>
      <c r="BM41" s="908"/>
      <c r="BN41" s="900">
        <f t="shared" si="43"/>
        <v>0</v>
      </c>
      <c r="BO41" s="934"/>
      <c r="BP41" s="906">
        <f t="shared" si="44"/>
        <v>0</v>
      </c>
      <c r="BQ41" s="900"/>
      <c r="BR41" s="907"/>
      <c r="BS41" s="908"/>
      <c r="BT41" s="900">
        <f t="shared" si="45"/>
        <v>0</v>
      </c>
      <c r="BU41" s="934"/>
      <c r="BV41" s="906">
        <f t="shared" si="46"/>
        <v>0</v>
      </c>
      <c r="BW41" s="900"/>
      <c r="BX41" s="907"/>
      <c r="BY41" s="908"/>
      <c r="BZ41" s="900">
        <f t="shared" si="47"/>
        <v>0</v>
      </c>
      <c r="CA41" s="934"/>
      <c r="CB41" s="906">
        <f t="shared" si="48"/>
        <v>0</v>
      </c>
      <c r="CC41" s="900"/>
      <c r="CD41" s="907"/>
      <c r="CE41" s="908"/>
      <c r="CF41" s="900">
        <f t="shared" si="49"/>
        <v>0</v>
      </c>
      <c r="CG41" s="934"/>
      <c r="CH41" s="906">
        <f t="shared" si="50"/>
        <v>0</v>
      </c>
      <c r="CI41" s="900"/>
      <c r="CJ41" s="907"/>
      <c r="CK41" s="908"/>
      <c r="CL41" s="900">
        <f t="shared" si="51"/>
        <v>0</v>
      </c>
      <c r="CM41" s="934"/>
      <c r="CN41" s="906">
        <f t="shared" si="52"/>
        <v>0</v>
      </c>
      <c r="CO41" s="900"/>
      <c r="CP41" s="907"/>
      <c r="CQ41" s="908"/>
      <c r="CR41" s="900">
        <f t="shared" si="53"/>
        <v>0</v>
      </c>
      <c r="CS41" s="934"/>
      <c r="CT41" s="906">
        <f t="shared" si="54"/>
        <v>0</v>
      </c>
    </row>
    <row r="42" spans="2:98">
      <c r="B42" s="905" t="s">
        <v>392</v>
      </c>
      <c r="C42" s="900">
        <f t="shared" si="24"/>
        <v>12126157</v>
      </c>
      <c r="D42" s="900">
        <f t="shared" si="24"/>
        <v>502694</v>
      </c>
      <c r="E42" s="900">
        <f t="shared" si="24"/>
        <v>0</v>
      </c>
      <c r="F42" s="900">
        <f t="shared" ref="F42:F43" si="55">C42+D42+E42</f>
        <v>12628851</v>
      </c>
      <c r="G42" s="900">
        <f t="shared" si="24"/>
        <v>0</v>
      </c>
      <c r="H42" s="906">
        <f>+F42-G42</f>
        <v>12628851</v>
      </c>
      <c r="I42" s="900">
        <v>2907686</v>
      </c>
      <c r="J42" s="909">
        <v>113515</v>
      </c>
      <c r="K42" s="908"/>
      <c r="L42" s="900">
        <f t="shared" si="25"/>
        <v>3021201</v>
      </c>
      <c r="M42" s="934"/>
      <c r="N42" s="906">
        <f t="shared" si="26"/>
        <v>3021201</v>
      </c>
      <c r="O42" s="900">
        <v>325500</v>
      </c>
      <c r="P42" s="909">
        <v>54250</v>
      </c>
      <c r="Q42" s="908"/>
      <c r="R42" s="900">
        <f t="shared" si="27"/>
        <v>379750</v>
      </c>
      <c r="S42" s="906"/>
      <c r="T42" s="906">
        <f t="shared" si="28"/>
        <v>379750</v>
      </c>
      <c r="U42" s="900"/>
      <c r="V42" s="909"/>
      <c r="W42" s="910"/>
      <c r="X42" s="900">
        <f t="shared" si="29"/>
        <v>0</v>
      </c>
      <c r="Y42" s="906"/>
      <c r="Z42" s="906">
        <f t="shared" si="30"/>
        <v>0</v>
      </c>
      <c r="AA42" s="900"/>
      <c r="AB42" s="907"/>
      <c r="AC42" s="908"/>
      <c r="AD42" s="900">
        <f t="shared" si="31"/>
        <v>0</v>
      </c>
      <c r="AE42" s="934"/>
      <c r="AF42" s="906">
        <f t="shared" si="32"/>
        <v>0</v>
      </c>
      <c r="AG42" s="900"/>
      <c r="AH42" s="909"/>
      <c r="AI42" s="908"/>
      <c r="AJ42" s="900">
        <f t="shared" si="33"/>
        <v>0</v>
      </c>
      <c r="AK42" s="934"/>
      <c r="AL42" s="906">
        <f t="shared" si="34"/>
        <v>0</v>
      </c>
      <c r="AM42" s="900">
        <v>8248012</v>
      </c>
      <c r="AN42" s="909">
        <v>313346</v>
      </c>
      <c r="AO42" s="908"/>
      <c r="AP42" s="900">
        <f t="shared" si="35"/>
        <v>8561358</v>
      </c>
      <c r="AQ42" s="934"/>
      <c r="AR42" s="906">
        <f t="shared" si="36"/>
        <v>8561358</v>
      </c>
      <c r="AS42" s="900"/>
      <c r="AT42" s="907"/>
      <c r="AU42" s="908"/>
      <c r="AV42" s="900">
        <f t="shared" si="37"/>
        <v>0</v>
      </c>
      <c r="AW42" s="934"/>
      <c r="AX42" s="906">
        <f t="shared" si="38"/>
        <v>0</v>
      </c>
      <c r="AY42" s="900">
        <v>141720</v>
      </c>
      <c r="AZ42" s="909">
        <v>4295</v>
      </c>
      <c r="BA42" s="910"/>
      <c r="BB42" s="900">
        <f t="shared" si="39"/>
        <v>146015</v>
      </c>
      <c r="BC42" s="906"/>
      <c r="BD42" s="935">
        <f t="shared" si="40"/>
        <v>146015</v>
      </c>
      <c r="BE42" s="900">
        <v>13220</v>
      </c>
      <c r="BF42" s="909"/>
      <c r="BG42" s="908"/>
      <c r="BH42" s="900">
        <f t="shared" si="41"/>
        <v>13220</v>
      </c>
      <c r="BI42" s="906"/>
      <c r="BJ42" s="906">
        <f t="shared" si="42"/>
        <v>13220</v>
      </c>
      <c r="BK42" s="900"/>
      <c r="BL42" s="907"/>
      <c r="BM42" s="908"/>
      <c r="BN42" s="900">
        <f t="shared" si="43"/>
        <v>0</v>
      </c>
      <c r="BO42" s="934"/>
      <c r="BP42" s="906">
        <f t="shared" si="44"/>
        <v>0</v>
      </c>
      <c r="BQ42" s="900">
        <v>149</v>
      </c>
      <c r="BR42" s="907"/>
      <c r="BS42" s="908"/>
      <c r="BT42" s="900">
        <f t="shared" si="45"/>
        <v>149</v>
      </c>
      <c r="BU42" s="934"/>
      <c r="BV42" s="906">
        <f t="shared" si="46"/>
        <v>149</v>
      </c>
      <c r="BW42" s="900"/>
      <c r="BX42" s="907"/>
      <c r="BY42" s="908"/>
      <c r="BZ42" s="900">
        <f t="shared" si="47"/>
        <v>0</v>
      </c>
      <c r="CA42" s="934"/>
      <c r="CB42" s="906">
        <f t="shared" si="48"/>
        <v>0</v>
      </c>
      <c r="CC42" s="900"/>
      <c r="CD42" s="907"/>
      <c r="CE42" s="908"/>
      <c r="CF42" s="900">
        <f t="shared" si="49"/>
        <v>0</v>
      </c>
      <c r="CG42" s="934"/>
      <c r="CH42" s="906">
        <f t="shared" si="50"/>
        <v>0</v>
      </c>
      <c r="CI42" s="900"/>
      <c r="CJ42" s="907"/>
      <c r="CK42" s="908"/>
      <c r="CL42" s="900">
        <f t="shared" si="51"/>
        <v>0</v>
      </c>
      <c r="CM42" s="934"/>
      <c r="CN42" s="906">
        <f t="shared" si="52"/>
        <v>0</v>
      </c>
      <c r="CO42" s="900">
        <v>489870</v>
      </c>
      <c r="CP42" s="909">
        <v>17288</v>
      </c>
      <c r="CQ42" s="910"/>
      <c r="CR42" s="900">
        <f t="shared" si="53"/>
        <v>507158</v>
      </c>
      <c r="CS42" s="934"/>
      <c r="CT42" s="906">
        <f t="shared" si="54"/>
        <v>507158</v>
      </c>
    </row>
    <row r="43" spans="2:98">
      <c r="B43" s="905" t="s">
        <v>393</v>
      </c>
      <c r="C43" s="900">
        <f t="shared" si="24"/>
        <v>1116383</v>
      </c>
      <c r="D43" s="900">
        <f t="shared" si="24"/>
        <v>25304</v>
      </c>
      <c r="E43" s="900">
        <f t="shared" si="24"/>
        <v>0</v>
      </c>
      <c r="F43" s="900">
        <f t="shared" si="55"/>
        <v>1141687</v>
      </c>
      <c r="G43" s="900">
        <f t="shared" si="24"/>
        <v>0</v>
      </c>
      <c r="H43" s="906">
        <f>+F43-G43</f>
        <v>1141687</v>
      </c>
      <c r="I43" s="900">
        <v>615533</v>
      </c>
      <c r="J43" s="909">
        <v>12410</v>
      </c>
      <c r="K43" s="908"/>
      <c r="L43" s="900">
        <f t="shared" si="25"/>
        <v>627943</v>
      </c>
      <c r="M43" s="934"/>
      <c r="N43" s="906">
        <f t="shared" si="26"/>
        <v>627943</v>
      </c>
      <c r="O43" s="900"/>
      <c r="P43" s="909"/>
      <c r="Q43" s="908"/>
      <c r="R43" s="900">
        <f t="shared" si="27"/>
        <v>0</v>
      </c>
      <c r="S43" s="906"/>
      <c r="T43" s="906">
        <f t="shared" si="28"/>
        <v>0</v>
      </c>
      <c r="U43" s="900"/>
      <c r="V43" s="909"/>
      <c r="W43" s="910"/>
      <c r="X43" s="900">
        <f t="shared" si="29"/>
        <v>0</v>
      </c>
      <c r="Y43" s="906"/>
      <c r="Z43" s="906">
        <f t="shared" si="30"/>
        <v>0</v>
      </c>
      <c r="AA43" s="900"/>
      <c r="AB43" s="907"/>
      <c r="AC43" s="908"/>
      <c r="AD43" s="900">
        <f t="shared" si="31"/>
        <v>0</v>
      </c>
      <c r="AE43" s="934"/>
      <c r="AF43" s="906">
        <f t="shared" si="32"/>
        <v>0</v>
      </c>
      <c r="AG43" s="900"/>
      <c r="AH43" s="909"/>
      <c r="AI43" s="908"/>
      <c r="AJ43" s="900">
        <f t="shared" si="33"/>
        <v>0</v>
      </c>
      <c r="AK43" s="934"/>
      <c r="AL43" s="906">
        <f t="shared" si="34"/>
        <v>0</v>
      </c>
      <c r="AM43" s="900"/>
      <c r="AN43" s="909"/>
      <c r="AO43" s="908"/>
      <c r="AP43" s="900">
        <f t="shared" si="35"/>
        <v>0</v>
      </c>
      <c r="AQ43" s="934"/>
      <c r="AR43" s="906">
        <f t="shared" si="36"/>
        <v>0</v>
      </c>
      <c r="AS43" s="900">
        <v>275069</v>
      </c>
      <c r="AT43" s="909">
        <v>10604</v>
      </c>
      <c r="AU43" s="908"/>
      <c r="AV43" s="900">
        <f t="shared" si="37"/>
        <v>285673</v>
      </c>
      <c r="AW43" s="934"/>
      <c r="AX43" s="906">
        <f t="shared" si="38"/>
        <v>285673</v>
      </c>
      <c r="AY43" s="900">
        <v>225781</v>
      </c>
      <c r="AZ43" s="909">
        <v>2290</v>
      </c>
      <c r="BA43" s="910"/>
      <c r="BB43" s="900">
        <f t="shared" si="39"/>
        <v>228071</v>
      </c>
      <c r="BC43" s="906"/>
      <c r="BD43" s="935">
        <f t="shared" si="40"/>
        <v>228071</v>
      </c>
      <c r="BE43" s="900"/>
      <c r="BF43" s="909"/>
      <c r="BG43" s="908"/>
      <c r="BH43" s="900">
        <f t="shared" si="41"/>
        <v>0</v>
      </c>
      <c r="BI43" s="906"/>
      <c r="BJ43" s="906">
        <f t="shared" si="42"/>
        <v>0</v>
      </c>
      <c r="BK43" s="900"/>
      <c r="BL43" s="907"/>
      <c r="BM43" s="908"/>
      <c r="BN43" s="900">
        <f t="shared" si="43"/>
        <v>0</v>
      </c>
      <c r="BO43" s="934"/>
      <c r="BP43" s="906">
        <f t="shared" si="44"/>
        <v>0</v>
      </c>
      <c r="BQ43" s="900"/>
      <c r="BR43" s="907"/>
      <c r="BS43" s="908"/>
      <c r="BT43" s="900">
        <f t="shared" si="45"/>
        <v>0</v>
      </c>
      <c r="BU43" s="934"/>
      <c r="BV43" s="906">
        <f t="shared" si="46"/>
        <v>0</v>
      </c>
      <c r="BW43" s="900"/>
      <c r="BX43" s="907"/>
      <c r="BY43" s="908"/>
      <c r="BZ43" s="900">
        <f t="shared" si="47"/>
        <v>0</v>
      </c>
      <c r="CA43" s="934"/>
      <c r="CB43" s="906">
        <f t="shared" si="48"/>
        <v>0</v>
      </c>
      <c r="CC43" s="900"/>
      <c r="CD43" s="907"/>
      <c r="CE43" s="908"/>
      <c r="CF43" s="900">
        <f t="shared" si="49"/>
        <v>0</v>
      </c>
      <c r="CG43" s="934"/>
      <c r="CH43" s="906">
        <f t="shared" si="50"/>
        <v>0</v>
      </c>
      <c r="CI43" s="900"/>
      <c r="CJ43" s="907"/>
      <c r="CK43" s="908"/>
      <c r="CL43" s="900">
        <f t="shared" si="51"/>
        <v>0</v>
      </c>
      <c r="CM43" s="934"/>
      <c r="CN43" s="906">
        <f t="shared" si="52"/>
        <v>0</v>
      </c>
      <c r="CO43" s="900"/>
      <c r="CP43" s="909"/>
      <c r="CQ43" s="910"/>
      <c r="CR43" s="900">
        <f t="shared" si="53"/>
        <v>0</v>
      </c>
      <c r="CS43" s="934"/>
      <c r="CT43" s="906">
        <f t="shared" si="54"/>
        <v>0</v>
      </c>
    </row>
    <row r="44" spans="2:98">
      <c r="B44" s="911" t="s">
        <v>912</v>
      </c>
      <c r="C44" s="900"/>
      <c r="D44" s="900"/>
      <c r="E44" s="900"/>
      <c r="F44" s="900"/>
      <c r="G44" s="900"/>
      <c r="H44" s="934"/>
      <c r="I44" s="900"/>
      <c r="J44" s="909"/>
      <c r="K44" s="908"/>
      <c r="L44" s="900">
        <f t="shared" si="25"/>
        <v>0</v>
      </c>
      <c r="M44" s="934"/>
      <c r="N44" s="906">
        <f t="shared" si="26"/>
        <v>0</v>
      </c>
      <c r="O44" s="900"/>
      <c r="P44" s="909"/>
      <c r="Q44" s="908"/>
      <c r="R44" s="900">
        <f t="shared" si="27"/>
        <v>0</v>
      </c>
      <c r="S44" s="906"/>
      <c r="T44" s="906">
        <f t="shared" si="28"/>
        <v>0</v>
      </c>
      <c r="U44" s="900"/>
      <c r="V44" s="909"/>
      <c r="W44" s="910"/>
      <c r="X44" s="900">
        <f t="shared" si="29"/>
        <v>0</v>
      </c>
      <c r="Y44" s="906"/>
      <c r="Z44" s="906">
        <f t="shared" si="30"/>
        <v>0</v>
      </c>
      <c r="AA44" s="900"/>
      <c r="AB44" s="907"/>
      <c r="AC44" s="908"/>
      <c r="AD44" s="900">
        <f t="shared" si="31"/>
        <v>0</v>
      </c>
      <c r="AE44" s="934"/>
      <c r="AF44" s="906">
        <f t="shared" si="32"/>
        <v>0</v>
      </c>
      <c r="AG44" s="900"/>
      <c r="AH44" s="909"/>
      <c r="AI44" s="908"/>
      <c r="AJ44" s="900">
        <f t="shared" si="33"/>
        <v>0</v>
      </c>
      <c r="AK44" s="934"/>
      <c r="AL44" s="906">
        <f t="shared" si="34"/>
        <v>0</v>
      </c>
      <c r="AM44" s="900"/>
      <c r="AN44" s="909"/>
      <c r="AO44" s="908"/>
      <c r="AP44" s="900">
        <f t="shared" si="35"/>
        <v>0</v>
      </c>
      <c r="AQ44" s="934"/>
      <c r="AR44" s="906">
        <f t="shared" si="36"/>
        <v>0</v>
      </c>
      <c r="AS44" s="900"/>
      <c r="AT44" s="909"/>
      <c r="AU44" s="908"/>
      <c r="AV44" s="900">
        <f t="shared" si="37"/>
        <v>0</v>
      </c>
      <c r="AW44" s="934"/>
      <c r="AX44" s="906">
        <f t="shared" si="38"/>
        <v>0</v>
      </c>
      <c r="AY44" s="900"/>
      <c r="AZ44" s="909"/>
      <c r="BA44" s="910"/>
      <c r="BB44" s="900">
        <f t="shared" si="39"/>
        <v>0</v>
      </c>
      <c r="BC44" s="906"/>
      <c r="BD44" s="935">
        <f t="shared" si="40"/>
        <v>0</v>
      </c>
      <c r="BE44" s="900"/>
      <c r="BF44" s="909"/>
      <c r="BG44" s="908"/>
      <c r="BH44" s="900">
        <f t="shared" si="41"/>
        <v>0</v>
      </c>
      <c r="BI44" s="906"/>
      <c r="BJ44" s="906">
        <f t="shared" si="42"/>
        <v>0</v>
      </c>
      <c r="BK44" s="900"/>
      <c r="BL44" s="909"/>
      <c r="BM44" s="910"/>
      <c r="BN44" s="900">
        <f t="shared" si="43"/>
        <v>0</v>
      </c>
      <c r="BO44" s="934"/>
      <c r="BP44" s="906">
        <f t="shared" si="44"/>
        <v>0</v>
      </c>
      <c r="BQ44" s="900"/>
      <c r="BR44" s="907"/>
      <c r="BS44" s="908"/>
      <c r="BT44" s="900">
        <f t="shared" si="45"/>
        <v>0</v>
      </c>
      <c r="BU44" s="934"/>
      <c r="BV44" s="906">
        <f t="shared" si="46"/>
        <v>0</v>
      </c>
      <c r="BW44" s="900"/>
      <c r="BX44" s="907"/>
      <c r="BY44" s="908"/>
      <c r="BZ44" s="900">
        <f t="shared" si="47"/>
        <v>0</v>
      </c>
      <c r="CA44" s="934"/>
      <c r="CB44" s="906">
        <f t="shared" si="48"/>
        <v>0</v>
      </c>
      <c r="CC44" s="900"/>
      <c r="CD44" s="907"/>
      <c r="CE44" s="908"/>
      <c r="CF44" s="900">
        <f t="shared" si="49"/>
        <v>0</v>
      </c>
      <c r="CG44" s="934"/>
      <c r="CH44" s="906">
        <f t="shared" si="50"/>
        <v>0</v>
      </c>
      <c r="CI44" s="900"/>
      <c r="CJ44" s="907"/>
      <c r="CK44" s="908"/>
      <c r="CL44" s="900">
        <f t="shared" si="51"/>
        <v>0</v>
      </c>
      <c r="CM44" s="934"/>
      <c r="CN44" s="906">
        <f t="shared" si="52"/>
        <v>0</v>
      </c>
      <c r="CO44" s="900"/>
      <c r="CP44" s="909"/>
      <c r="CQ44" s="910"/>
      <c r="CR44" s="900">
        <f t="shared" si="53"/>
        <v>0</v>
      </c>
      <c r="CS44" s="934"/>
      <c r="CT44" s="906">
        <f t="shared" si="54"/>
        <v>0</v>
      </c>
    </row>
    <row r="45" spans="2:98">
      <c r="B45" s="905" t="s">
        <v>394</v>
      </c>
      <c r="C45" s="900">
        <f t="shared" si="24"/>
        <v>59214126</v>
      </c>
      <c r="D45" s="900">
        <f t="shared" si="24"/>
        <v>1520797</v>
      </c>
      <c r="E45" s="900">
        <f t="shared" si="24"/>
        <v>0</v>
      </c>
      <c r="F45" s="900">
        <f t="shared" ref="F45:F61" si="56">C45+D45+E45</f>
        <v>60734923</v>
      </c>
      <c r="G45" s="900">
        <f t="shared" ref="G45:G51" si="57">M45+S45+Y45+AE45+AK45+AQ45+AW45+BC45+BI45+BO45+BU45+CA45+CG45+CM45+CS45</f>
        <v>0</v>
      </c>
      <c r="H45" s="906">
        <f t="shared" ref="H45:H50" si="58">+F45-G45</f>
        <v>60734923</v>
      </c>
      <c r="I45" s="909">
        <v>20656485</v>
      </c>
      <c r="J45" s="909">
        <v>352225</v>
      </c>
      <c r="K45" s="908"/>
      <c r="L45" s="900">
        <f t="shared" si="25"/>
        <v>21008710</v>
      </c>
      <c r="M45" s="934"/>
      <c r="N45" s="906">
        <f t="shared" si="26"/>
        <v>21008710</v>
      </c>
      <c r="O45" s="900">
        <v>1262464</v>
      </c>
      <c r="P45" s="909">
        <v>38003</v>
      </c>
      <c r="Q45" s="908"/>
      <c r="R45" s="900">
        <f t="shared" si="27"/>
        <v>1300467</v>
      </c>
      <c r="S45" s="906"/>
      <c r="T45" s="906">
        <f t="shared" si="28"/>
        <v>1300467</v>
      </c>
      <c r="U45" s="900">
        <v>1858174</v>
      </c>
      <c r="V45" s="909">
        <v>11703</v>
      </c>
      <c r="W45" s="910"/>
      <c r="X45" s="900">
        <f t="shared" si="29"/>
        <v>1869877</v>
      </c>
      <c r="Y45" s="906"/>
      <c r="Z45" s="906">
        <f t="shared" si="30"/>
        <v>1869877</v>
      </c>
      <c r="AA45" s="900"/>
      <c r="AB45" s="907"/>
      <c r="AC45" s="908"/>
      <c r="AD45" s="900">
        <f t="shared" si="31"/>
        <v>0</v>
      </c>
      <c r="AE45" s="934"/>
      <c r="AF45" s="906">
        <f t="shared" si="32"/>
        <v>0</v>
      </c>
      <c r="AG45" s="900"/>
      <c r="AH45" s="909"/>
      <c r="AI45" s="908"/>
      <c r="AJ45" s="900">
        <f t="shared" si="33"/>
        <v>0</v>
      </c>
      <c r="AK45" s="934"/>
      <c r="AL45" s="906">
        <f t="shared" si="34"/>
        <v>0</v>
      </c>
      <c r="AM45" s="900">
        <v>14064210</v>
      </c>
      <c r="AN45" s="909">
        <v>598380</v>
      </c>
      <c r="AO45" s="908"/>
      <c r="AP45" s="900">
        <f t="shared" si="35"/>
        <v>14662590</v>
      </c>
      <c r="AQ45" s="934"/>
      <c r="AR45" s="906">
        <f t="shared" si="36"/>
        <v>14662590</v>
      </c>
      <c r="AS45" s="900">
        <v>2899</v>
      </c>
      <c r="AT45" s="909"/>
      <c r="AU45" s="908"/>
      <c r="AV45" s="900">
        <f t="shared" si="37"/>
        <v>2899</v>
      </c>
      <c r="AW45" s="934"/>
      <c r="AX45" s="906">
        <f t="shared" si="38"/>
        <v>2899</v>
      </c>
      <c r="AY45" s="900">
        <v>3663775</v>
      </c>
      <c r="AZ45" s="909">
        <v>400482</v>
      </c>
      <c r="BA45" s="910"/>
      <c r="BB45" s="900">
        <f t="shared" si="39"/>
        <v>4064257</v>
      </c>
      <c r="BC45" s="906"/>
      <c r="BD45" s="935">
        <f t="shared" si="40"/>
        <v>4064257</v>
      </c>
      <c r="BE45" s="900">
        <v>767711</v>
      </c>
      <c r="BF45" s="909">
        <v>46429</v>
      </c>
      <c r="BG45" s="908"/>
      <c r="BH45" s="900">
        <f t="shared" si="41"/>
        <v>814140</v>
      </c>
      <c r="BI45" s="906"/>
      <c r="BJ45" s="906">
        <f t="shared" si="42"/>
        <v>814140</v>
      </c>
      <c r="BK45" s="900"/>
      <c r="BL45" s="909"/>
      <c r="BM45" s="910"/>
      <c r="BN45" s="900">
        <f t="shared" si="43"/>
        <v>0</v>
      </c>
      <c r="BO45" s="934"/>
      <c r="BP45" s="906">
        <f t="shared" si="44"/>
        <v>0</v>
      </c>
      <c r="BQ45" s="900">
        <v>2612188</v>
      </c>
      <c r="BR45" s="909">
        <v>73575</v>
      </c>
      <c r="BS45" s="910"/>
      <c r="BT45" s="900">
        <f t="shared" si="45"/>
        <v>2685763</v>
      </c>
      <c r="BU45" s="934"/>
      <c r="BV45" s="906">
        <f t="shared" si="46"/>
        <v>2685763</v>
      </c>
      <c r="BW45" s="900"/>
      <c r="BX45" s="907"/>
      <c r="BY45" s="908"/>
      <c r="BZ45" s="900">
        <f t="shared" si="47"/>
        <v>0</v>
      </c>
      <c r="CA45" s="934"/>
      <c r="CB45" s="906">
        <f t="shared" si="48"/>
        <v>0</v>
      </c>
      <c r="CC45" s="900"/>
      <c r="CD45" s="907"/>
      <c r="CE45" s="908"/>
      <c r="CF45" s="900">
        <f t="shared" si="49"/>
        <v>0</v>
      </c>
      <c r="CG45" s="934"/>
      <c r="CH45" s="906">
        <f t="shared" si="50"/>
        <v>0</v>
      </c>
      <c r="CI45" s="900"/>
      <c r="CJ45" s="907"/>
      <c r="CK45" s="908"/>
      <c r="CL45" s="900">
        <f t="shared" si="51"/>
        <v>0</v>
      </c>
      <c r="CM45" s="934"/>
      <c r="CN45" s="906">
        <f t="shared" si="52"/>
        <v>0</v>
      </c>
      <c r="CO45" s="900">
        <v>14326220</v>
      </c>
      <c r="CP45" s="909"/>
      <c r="CQ45" s="910"/>
      <c r="CR45" s="900">
        <f t="shared" si="53"/>
        <v>14326220</v>
      </c>
      <c r="CS45" s="934"/>
      <c r="CT45" s="906">
        <f t="shared" si="54"/>
        <v>14326220</v>
      </c>
    </row>
    <row r="46" spans="2:98">
      <c r="B46" s="905" t="s">
        <v>396</v>
      </c>
      <c r="C46" s="900">
        <f t="shared" si="24"/>
        <v>53092819</v>
      </c>
      <c r="D46" s="900">
        <f t="shared" si="24"/>
        <v>507578</v>
      </c>
      <c r="E46" s="900">
        <f t="shared" si="24"/>
        <v>0</v>
      </c>
      <c r="F46" s="900">
        <f t="shared" si="56"/>
        <v>53600397</v>
      </c>
      <c r="G46" s="900">
        <f t="shared" si="57"/>
        <v>0</v>
      </c>
      <c r="H46" s="906">
        <f t="shared" si="58"/>
        <v>53600397</v>
      </c>
      <c r="I46" s="900">
        <v>16551246</v>
      </c>
      <c r="J46" s="909">
        <v>45305</v>
      </c>
      <c r="K46" s="908"/>
      <c r="L46" s="900">
        <f t="shared" si="25"/>
        <v>16596551</v>
      </c>
      <c r="M46" s="934"/>
      <c r="N46" s="906">
        <f t="shared" si="26"/>
        <v>16596551</v>
      </c>
      <c r="O46" s="900">
        <v>7225300</v>
      </c>
      <c r="P46" s="909">
        <v>25960</v>
      </c>
      <c r="Q46" s="908"/>
      <c r="R46" s="900">
        <f t="shared" si="27"/>
        <v>7251260</v>
      </c>
      <c r="S46" s="906"/>
      <c r="T46" s="906">
        <f t="shared" si="28"/>
        <v>7251260</v>
      </c>
      <c r="U46" s="900">
        <v>709836</v>
      </c>
      <c r="V46" s="909"/>
      <c r="W46" s="910"/>
      <c r="X46" s="900">
        <f t="shared" si="29"/>
        <v>709836</v>
      </c>
      <c r="Y46" s="906"/>
      <c r="Z46" s="906">
        <f t="shared" si="30"/>
        <v>709836</v>
      </c>
      <c r="AA46" s="900"/>
      <c r="AB46" s="907"/>
      <c r="AC46" s="908"/>
      <c r="AD46" s="900">
        <f t="shared" si="31"/>
        <v>0</v>
      </c>
      <c r="AE46" s="934"/>
      <c r="AF46" s="906">
        <f t="shared" si="32"/>
        <v>0</v>
      </c>
      <c r="AG46" s="900"/>
      <c r="AH46" s="909"/>
      <c r="AI46" s="908"/>
      <c r="AJ46" s="900">
        <f t="shared" si="33"/>
        <v>0</v>
      </c>
      <c r="AK46" s="934"/>
      <c r="AL46" s="906">
        <f t="shared" si="34"/>
        <v>0</v>
      </c>
      <c r="AM46" s="900">
        <v>8692792</v>
      </c>
      <c r="AN46" s="909">
        <v>13682</v>
      </c>
      <c r="AO46" s="908"/>
      <c r="AP46" s="900">
        <f t="shared" si="35"/>
        <v>8706474</v>
      </c>
      <c r="AQ46" s="934"/>
      <c r="AR46" s="906">
        <f t="shared" si="36"/>
        <v>8706474</v>
      </c>
      <c r="AS46" s="900">
        <v>5712793</v>
      </c>
      <c r="AT46" s="909">
        <v>117773</v>
      </c>
      <c r="AU46" s="908"/>
      <c r="AV46" s="900">
        <f t="shared" si="37"/>
        <v>5830566</v>
      </c>
      <c r="AW46" s="934"/>
      <c r="AX46" s="906">
        <f t="shared" si="38"/>
        <v>5830566</v>
      </c>
      <c r="AY46" s="900">
        <v>8921257</v>
      </c>
      <c r="AZ46" s="909">
        <v>226455</v>
      </c>
      <c r="BA46" s="910"/>
      <c r="BB46" s="900">
        <f t="shared" si="39"/>
        <v>9147712</v>
      </c>
      <c r="BC46" s="906"/>
      <c r="BD46" s="935">
        <f t="shared" si="40"/>
        <v>9147712</v>
      </c>
      <c r="BE46" s="900">
        <v>4453744</v>
      </c>
      <c r="BF46" s="909">
        <v>22704</v>
      </c>
      <c r="BG46" s="908"/>
      <c r="BH46" s="900">
        <f t="shared" si="41"/>
        <v>4476448</v>
      </c>
      <c r="BI46" s="906"/>
      <c r="BJ46" s="906">
        <f t="shared" si="42"/>
        <v>4476448</v>
      </c>
      <c r="BK46" s="900"/>
      <c r="BL46" s="909"/>
      <c r="BM46" s="910"/>
      <c r="BN46" s="900">
        <f t="shared" si="43"/>
        <v>0</v>
      </c>
      <c r="BO46" s="934"/>
      <c r="BP46" s="906">
        <f t="shared" si="44"/>
        <v>0</v>
      </c>
      <c r="BQ46" s="900"/>
      <c r="BR46" s="909"/>
      <c r="BS46" s="910"/>
      <c r="BT46" s="900">
        <f t="shared" si="45"/>
        <v>0</v>
      </c>
      <c r="BU46" s="934"/>
      <c r="BV46" s="906">
        <f t="shared" si="46"/>
        <v>0</v>
      </c>
      <c r="BW46" s="900"/>
      <c r="BX46" s="907"/>
      <c r="BY46" s="908"/>
      <c r="BZ46" s="900">
        <f t="shared" si="47"/>
        <v>0</v>
      </c>
      <c r="CA46" s="934"/>
      <c r="CB46" s="906">
        <f t="shared" si="48"/>
        <v>0</v>
      </c>
      <c r="CC46" s="900"/>
      <c r="CD46" s="907"/>
      <c r="CE46" s="908"/>
      <c r="CF46" s="900">
        <f t="shared" si="49"/>
        <v>0</v>
      </c>
      <c r="CG46" s="934"/>
      <c r="CH46" s="906">
        <f t="shared" si="50"/>
        <v>0</v>
      </c>
      <c r="CI46" s="900">
        <v>825851</v>
      </c>
      <c r="CJ46" s="909">
        <v>55699</v>
      </c>
      <c r="CK46" s="910"/>
      <c r="CL46" s="900">
        <f t="shared" si="51"/>
        <v>881550</v>
      </c>
      <c r="CM46" s="934"/>
      <c r="CN46" s="906">
        <f t="shared" si="52"/>
        <v>881550</v>
      </c>
      <c r="CO46" s="900"/>
      <c r="CP46" s="909"/>
      <c r="CQ46" s="910"/>
      <c r="CR46" s="900">
        <f t="shared" si="53"/>
        <v>0</v>
      </c>
      <c r="CS46" s="934"/>
      <c r="CT46" s="906">
        <f t="shared" si="54"/>
        <v>0</v>
      </c>
    </row>
    <row r="47" spans="2:98" ht="21">
      <c r="B47" s="905" t="s">
        <v>397</v>
      </c>
      <c r="C47" s="900">
        <f t="shared" si="24"/>
        <v>9398809</v>
      </c>
      <c r="D47" s="900">
        <f t="shared" si="24"/>
        <v>85639</v>
      </c>
      <c r="E47" s="900">
        <f t="shared" si="24"/>
        <v>0</v>
      </c>
      <c r="F47" s="900">
        <f t="shared" si="56"/>
        <v>9484448</v>
      </c>
      <c r="G47" s="900">
        <f t="shared" si="57"/>
        <v>0</v>
      </c>
      <c r="H47" s="906">
        <f t="shared" si="58"/>
        <v>9484448</v>
      </c>
      <c r="I47" s="900">
        <v>3024636</v>
      </c>
      <c r="J47" s="914"/>
      <c r="K47" s="908"/>
      <c r="L47" s="900">
        <f t="shared" si="25"/>
        <v>3024636</v>
      </c>
      <c r="M47" s="934"/>
      <c r="N47" s="906">
        <f t="shared" si="26"/>
        <v>3024636</v>
      </c>
      <c r="O47" s="900"/>
      <c r="P47" s="909"/>
      <c r="Q47" s="908"/>
      <c r="R47" s="900">
        <f t="shared" si="27"/>
        <v>0</v>
      </c>
      <c r="S47" s="906"/>
      <c r="T47" s="906">
        <f t="shared" si="28"/>
        <v>0</v>
      </c>
      <c r="U47" s="900"/>
      <c r="V47" s="909"/>
      <c r="W47" s="910"/>
      <c r="X47" s="900">
        <f t="shared" si="29"/>
        <v>0</v>
      </c>
      <c r="Y47" s="906"/>
      <c r="Z47" s="906">
        <f t="shared" si="30"/>
        <v>0</v>
      </c>
      <c r="AA47" s="900"/>
      <c r="AB47" s="907"/>
      <c r="AC47" s="908"/>
      <c r="AD47" s="900">
        <f t="shared" si="31"/>
        <v>0</v>
      </c>
      <c r="AE47" s="934"/>
      <c r="AF47" s="906">
        <f t="shared" si="32"/>
        <v>0</v>
      </c>
      <c r="AG47" s="900"/>
      <c r="AH47" s="909"/>
      <c r="AI47" s="908"/>
      <c r="AJ47" s="900">
        <f t="shared" si="33"/>
        <v>0</v>
      </c>
      <c r="AK47" s="934"/>
      <c r="AL47" s="906">
        <f t="shared" si="34"/>
        <v>0</v>
      </c>
      <c r="AM47" s="900">
        <v>19599</v>
      </c>
      <c r="AN47" s="909"/>
      <c r="AO47" s="908"/>
      <c r="AP47" s="900">
        <f t="shared" si="35"/>
        <v>19599</v>
      </c>
      <c r="AQ47" s="934"/>
      <c r="AR47" s="906">
        <f t="shared" si="36"/>
        <v>19599</v>
      </c>
      <c r="AS47" s="900"/>
      <c r="AT47" s="909"/>
      <c r="AU47" s="908"/>
      <c r="AV47" s="900">
        <f t="shared" si="37"/>
        <v>0</v>
      </c>
      <c r="AW47" s="934"/>
      <c r="AX47" s="906">
        <f t="shared" si="38"/>
        <v>0</v>
      </c>
      <c r="AY47" s="900">
        <v>1347224</v>
      </c>
      <c r="AZ47" s="914">
        <v>85639</v>
      </c>
      <c r="BA47" s="910"/>
      <c r="BB47" s="900">
        <f t="shared" si="39"/>
        <v>1432863</v>
      </c>
      <c r="BC47" s="906"/>
      <c r="BD47" s="935">
        <f t="shared" si="40"/>
        <v>1432863</v>
      </c>
      <c r="BE47" s="900"/>
      <c r="BF47" s="909"/>
      <c r="BG47" s="908"/>
      <c r="BH47" s="900">
        <f t="shared" si="41"/>
        <v>0</v>
      </c>
      <c r="BI47" s="906"/>
      <c r="BJ47" s="906">
        <f t="shared" si="42"/>
        <v>0</v>
      </c>
      <c r="BK47" s="900"/>
      <c r="BL47" s="909"/>
      <c r="BM47" s="910"/>
      <c r="BN47" s="900">
        <f t="shared" si="43"/>
        <v>0</v>
      </c>
      <c r="BO47" s="934"/>
      <c r="BP47" s="906">
        <f t="shared" si="44"/>
        <v>0</v>
      </c>
      <c r="BQ47" s="900">
        <v>59669</v>
      </c>
      <c r="BR47" s="909"/>
      <c r="BS47" s="910"/>
      <c r="BT47" s="900">
        <f t="shared" si="45"/>
        <v>59669</v>
      </c>
      <c r="BU47" s="934"/>
      <c r="BV47" s="906">
        <f t="shared" si="46"/>
        <v>59669</v>
      </c>
      <c r="BW47" s="900"/>
      <c r="BX47" s="907"/>
      <c r="BY47" s="908"/>
      <c r="BZ47" s="900">
        <f t="shared" si="47"/>
        <v>0</v>
      </c>
      <c r="CA47" s="934"/>
      <c r="CB47" s="906">
        <f t="shared" si="48"/>
        <v>0</v>
      </c>
      <c r="CC47" s="900"/>
      <c r="CD47" s="907"/>
      <c r="CE47" s="908"/>
      <c r="CF47" s="900">
        <f t="shared" si="49"/>
        <v>0</v>
      </c>
      <c r="CG47" s="934"/>
      <c r="CH47" s="906">
        <f t="shared" si="50"/>
        <v>0</v>
      </c>
      <c r="CI47" s="900"/>
      <c r="CJ47" s="909"/>
      <c r="CK47" s="910"/>
      <c r="CL47" s="900">
        <f t="shared" si="51"/>
        <v>0</v>
      </c>
      <c r="CM47" s="934"/>
      <c r="CN47" s="906">
        <f t="shared" si="52"/>
        <v>0</v>
      </c>
      <c r="CO47" s="900">
        <v>4947681</v>
      </c>
      <c r="CP47" s="909"/>
      <c r="CQ47" s="910"/>
      <c r="CR47" s="900">
        <f t="shared" si="53"/>
        <v>4947681</v>
      </c>
      <c r="CS47" s="934"/>
      <c r="CT47" s="906">
        <f t="shared" si="54"/>
        <v>4947681</v>
      </c>
    </row>
    <row r="48" spans="2:98">
      <c r="B48" s="905" t="s">
        <v>398</v>
      </c>
      <c r="C48" s="900">
        <f t="shared" si="24"/>
        <v>16411123</v>
      </c>
      <c r="D48" s="900">
        <f t="shared" si="24"/>
        <v>342944</v>
      </c>
      <c r="E48" s="900">
        <f t="shared" si="24"/>
        <v>0</v>
      </c>
      <c r="F48" s="900">
        <f t="shared" si="56"/>
        <v>16754067</v>
      </c>
      <c r="G48" s="900">
        <f t="shared" si="57"/>
        <v>32147</v>
      </c>
      <c r="H48" s="906">
        <f t="shared" si="58"/>
        <v>16721920</v>
      </c>
      <c r="I48" s="900">
        <v>9345132</v>
      </c>
      <c r="J48" s="909">
        <v>180502</v>
      </c>
      <c r="K48" s="908"/>
      <c r="L48" s="900">
        <f t="shared" si="25"/>
        <v>9525634</v>
      </c>
      <c r="M48" s="934"/>
      <c r="N48" s="906">
        <f t="shared" si="26"/>
        <v>9525634</v>
      </c>
      <c r="O48" s="900">
        <v>262443</v>
      </c>
      <c r="P48" s="909">
        <v>1200</v>
      </c>
      <c r="Q48" s="908"/>
      <c r="R48" s="900">
        <f t="shared" si="27"/>
        <v>263643</v>
      </c>
      <c r="S48" s="906"/>
      <c r="T48" s="906">
        <f t="shared" si="28"/>
        <v>263643</v>
      </c>
      <c r="U48" s="900">
        <v>285474</v>
      </c>
      <c r="V48" s="909">
        <v>6819</v>
      </c>
      <c r="W48" s="910"/>
      <c r="X48" s="900">
        <f t="shared" si="29"/>
        <v>292293</v>
      </c>
      <c r="Y48" s="906">
        <v>19548</v>
      </c>
      <c r="Z48" s="906">
        <f t="shared" si="30"/>
        <v>272745</v>
      </c>
      <c r="AA48" s="900">
        <v>114041</v>
      </c>
      <c r="AB48" s="907">
        <v>88843</v>
      </c>
      <c r="AC48" s="908"/>
      <c r="AD48" s="900">
        <f t="shared" si="31"/>
        <v>202884</v>
      </c>
      <c r="AE48" s="934"/>
      <c r="AF48" s="906">
        <f t="shared" si="32"/>
        <v>202884</v>
      </c>
      <c r="AG48" s="900"/>
      <c r="AH48" s="909"/>
      <c r="AI48" s="908"/>
      <c r="AJ48" s="900">
        <f t="shared" si="33"/>
        <v>0</v>
      </c>
      <c r="AK48" s="934"/>
      <c r="AL48" s="906">
        <f t="shared" si="34"/>
        <v>0</v>
      </c>
      <c r="AM48" s="900">
        <v>14963</v>
      </c>
      <c r="AN48" s="909">
        <v>3726</v>
      </c>
      <c r="AO48" s="908"/>
      <c r="AP48" s="900">
        <f t="shared" si="35"/>
        <v>18689</v>
      </c>
      <c r="AQ48" s="934"/>
      <c r="AR48" s="906">
        <f t="shared" si="36"/>
        <v>18689</v>
      </c>
      <c r="AS48" s="900"/>
      <c r="AT48" s="909"/>
      <c r="AU48" s="908"/>
      <c r="AV48" s="900">
        <f t="shared" si="37"/>
        <v>0</v>
      </c>
      <c r="AW48" s="934"/>
      <c r="AX48" s="906">
        <f t="shared" si="38"/>
        <v>0</v>
      </c>
      <c r="AY48" s="900">
        <v>703508</v>
      </c>
      <c r="AZ48" s="909">
        <v>24000</v>
      </c>
      <c r="BA48" s="910"/>
      <c r="BB48" s="900">
        <f t="shared" si="39"/>
        <v>727508</v>
      </c>
      <c r="BC48" s="906"/>
      <c r="BD48" s="935">
        <f t="shared" si="40"/>
        <v>727508</v>
      </c>
      <c r="BE48" s="900">
        <v>181877</v>
      </c>
      <c r="BF48" s="909">
        <v>20341</v>
      </c>
      <c r="BG48" s="908"/>
      <c r="BH48" s="900">
        <f t="shared" si="41"/>
        <v>202218</v>
      </c>
      <c r="BI48" s="906"/>
      <c r="BJ48" s="906">
        <f t="shared" si="42"/>
        <v>202218</v>
      </c>
      <c r="BK48" s="900">
        <v>74325</v>
      </c>
      <c r="BL48" s="909">
        <v>13322</v>
      </c>
      <c r="BM48" s="910"/>
      <c r="BN48" s="900">
        <f t="shared" si="43"/>
        <v>87647</v>
      </c>
      <c r="BO48" s="934"/>
      <c r="BP48" s="906">
        <f t="shared" si="44"/>
        <v>87647</v>
      </c>
      <c r="BQ48" s="900">
        <v>721044</v>
      </c>
      <c r="BR48" s="909"/>
      <c r="BS48" s="910"/>
      <c r="BT48" s="900">
        <f t="shared" si="45"/>
        <v>721044</v>
      </c>
      <c r="BU48" s="934">
        <v>12599</v>
      </c>
      <c r="BV48" s="906">
        <f t="shared" si="46"/>
        <v>708445</v>
      </c>
      <c r="BW48" s="900"/>
      <c r="BX48" s="907"/>
      <c r="BY48" s="908"/>
      <c r="BZ48" s="900">
        <f t="shared" si="47"/>
        <v>0</v>
      </c>
      <c r="CA48" s="934"/>
      <c r="CB48" s="906">
        <f t="shared" si="48"/>
        <v>0</v>
      </c>
      <c r="CC48" s="900"/>
      <c r="CD48" s="909"/>
      <c r="CE48" s="908"/>
      <c r="CF48" s="900">
        <f t="shared" si="49"/>
        <v>0</v>
      </c>
      <c r="CG48" s="934"/>
      <c r="CH48" s="906">
        <f t="shared" si="50"/>
        <v>0</v>
      </c>
      <c r="CI48" s="900">
        <v>36706</v>
      </c>
      <c r="CJ48" s="909">
        <v>4191</v>
      </c>
      <c r="CK48" s="910"/>
      <c r="CL48" s="900">
        <f t="shared" si="51"/>
        <v>40897</v>
      </c>
      <c r="CM48" s="906"/>
      <c r="CN48" s="906">
        <f t="shared" si="52"/>
        <v>40897</v>
      </c>
      <c r="CO48" s="900">
        <v>4671610</v>
      </c>
      <c r="CP48" s="909"/>
      <c r="CQ48" s="910"/>
      <c r="CR48" s="900">
        <f t="shared" si="53"/>
        <v>4671610</v>
      </c>
      <c r="CS48" s="934"/>
      <c r="CT48" s="906">
        <f t="shared" si="54"/>
        <v>4671610</v>
      </c>
    </row>
    <row r="49" spans="2:98">
      <c r="B49" s="905" t="s">
        <v>399</v>
      </c>
      <c r="C49" s="900">
        <f t="shared" si="24"/>
        <v>3209239</v>
      </c>
      <c r="D49" s="900">
        <f t="shared" si="24"/>
        <v>138179</v>
      </c>
      <c r="E49" s="900">
        <f t="shared" si="24"/>
        <v>0</v>
      </c>
      <c r="F49" s="900">
        <f t="shared" si="56"/>
        <v>3347418</v>
      </c>
      <c r="G49" s="900">
        <f t="shared" si="57"/>
        <v>0</v>
      </c>
      <c r="H49" s="906">
        <f t="shared" si="58"/>
        <v>3347418</v>
      </c>
      <c r="I49" s="900">
        <v>396024</v>
      </c>
      <c r="J49" s="909">
        <v>5932</v>
      </c>
      <c r="K49" s="908"/>
      <c r="L49" s="900">
        <f t="shared" si="25"/>
        <v>401956</v>
      </c>
      <c r="M49" s="934"/>
      <c r="N49" s="906">
        <f t="shared" si="26"/>
        <v>401956</v>
      </c>
      <c r="O49" s="900">
        <v>21698</v>
      </c>
      <c r="P49" s="909">
        <v>347</v>
      </c>
      <c r="Q49" s="908"/>
      <c r="R49" s="900">
        <f t="shared" si="27"/>
        <v>22045</v>
      </c>
      <c r="S49" s="906"/>
      <c r="T49" s="906">
        <f t="shared" si="28"/>
        <v>22045</v>
      </c>
      <c r="U49" s="900"/>
      <c r="V49" s="909"/>
      <c r="W49" s="910"/>
      <c r="X49" s="900">
        <f t="shared" si="29"/>
        <v>0</v>
      </c>
      <c r="Y49" s="906"/>
      <c r="Z49" s="906">
        <f t="shared" si="30"/>
        <v>0</v>
      </c>
      <c r="AA49" s="900"/>
      <c r="AB49" s="907"/>
      <c r="AC49" s="908"/>
      <c r="AD49" s="900">
        <f t="shared" si="31"/>
        <v>0</v>
      </c>
      <c r="AE49" s="934"/>
      <c r="AF49" s="906">
        <f t="shared" si="32"/>
        <v>0</v>
      </c>
      <c r="AG49" s="900"/>
      <c r="AH49" s="909"/>
      <c r="AI49" s="908"/>
      <c r="AJ49" s="900">
        <f t="shared" si="33"/>
        <v>0</v>
      </c>
      <c r="AK49" s="934"/>
      <c r="AL49" s="906">
        <f t="shared" si="34"/>
        <v>0</v>
      </c>
      <c r="AM49" s="900"/>
      <c r="AN49" s="909"/>
      <c r="AO49" s="908"/>
      <c r="AP49" s="900">
        <f t="shared" si="35"/>
        <v>0</v>
      </c>
      <c r="AQ49" s="934"/>
      <c r="AR49" s="906">
        <f t="shared" si="36"/>
        <v>0</v>
      </c>
      <c r="AS49" s="900"/>
      <c r="AT49" s="909"/>
      <c r="AU49" s="908"/>
      <c r="AV49" s="900">
        <f t="shared" si="37"/>
        <v>0</v>
      </c>
      <c r="AW49" s="934"/>
      <c r="AX49" s="906">
        <f t="shared" si="38"/>
        <v>0</v>
      </c>
      <c r="AY49" s="900">
        <v>260771</v>
      </c>
      <c r="AZ49" s="909">
        <v>30262</v>
      </c>
      <c r="BA49" s="910"/>
      <c r="BB49" s="900">
        <f t="shared" si="39"/>
        <v>291033</v>
      </c>
      <c r="BC49" s="906"/>
      <c r="BD49" s="935">
        <f t="shared" si="40"/>
        <v>291033</v>
      </c>
      <c r="BE49" s="900"/>
      <c r="BF49" s="909"/>
      <c r="BG49" s="908"/>
      <c r="BH49" s="900">
        <f t="shared" si="41"/>
        <v>0</v>
      </c>
      <c r="BI49" s="906"/>
      <c r="BJ49" s="906">
        <f t="shared" si="42"/>
        <v>0</v>
      </c>
      <c r="BK49" s="900"/>
      <c r="BL49" s="909"/>
      <c r="BM49" s="910"/>
      <c r="BN49" s="900">
        <f t="shared" si="43"/>
        <v>0</v>
      </c>
      <c r="BO49" s="934"/>
      <c r="BP49" s="906">
        <f t="shared" si="44"/>
        <v>0</v>
      </c>
      <c r="BQ49" s="900">
        <v>73463</v>
      </c>
      <c r="BR49" s="909">
        <v>101638</v>
      </c>
      <c r="BS49" s="910"/>
      <c r="BT49" s="900">
        <f t="shared" si="45"/>
        <v>175101</v>
      </c>
      <c r="BU49" s="934"/>
      <c r="BV49" s="906">
        <f t="shared" si="46"/>
        <v>175101</v>
      </c>
      <c r="BW49" s="900"/>
      <c r="BX49" s="907"/>
      <c r="BY49" s="908"/>
      <c r="BZ49" s="900">
        <f t="shared" si="47"/>
        <v>0</v>
      </c>
      <c r="CA49" s="934"/>
      <c r="CB49" s="906">
        <f t="shared" si="48"/>
        <v>0</v>
      </c>
      <c r="CC49" s="900"/>
      <c r="CD49" s="907"/>
      <c r="CE49" s="908"/>
      <c r="CF49" s="900">
        <f t="shared" si="49"/>
        <v>0</v>
      </c>
      <c r="CG49" s="934"/>
      <c r="CH49" s="906">
        <f t="shared" si="50"/>
        <v>0</v>
      </c>
      <c r="CI49" s="900"/>
      <c r="CJ49" s="909"/>
      <c r="CK49" s="910"/>
      <c r="CL49" s="900">
        <f t="shared" si="51"/>
        <v>0</v>
      </c>
      <c r="CM49" s="934"/>
      <c r="CN49" s="906">
        <f t="shared" si="52"/>
        <v>0</v>
      </c>
      <c r="CO49" s="900">
        <v>2457283</v>
      </c>
      <c r="CP49" s="909"/>
      <c r="CQ49" s="910"/>
      <c r="CR49" s="900">
        <f t="shared" si="53"/>
        <v>2457283</v>
      </c>
      <c r="CS49" s="934"/>
      <c r="CT49" s="906">
        <f t="shared" si="54"/>
        <v>2457283</v>
      </c>
    </row>
    <row r="50" spans="2:98">
      <c r="B50" s="905" t="s">
        <v>400</v>
      </c>
      <c r="C50" s="900">
        <f t="shared" si="24"/>
        <v>11995935</v>
      </c>
      <c r="D50" s="900">
        <f t="shared" si="24"/>
        <v>155288</v>
      </c>
      <c r="E50" s="900">
        <f t="shared" si="24"/>
        <v>0</v>
      </c>
      <c r="F50" s="900">
        <f t="shared" si="56"/>
        <v>12151223</v>
      </c>
      <c r="G50" s="900">
        <f t="shared" si="57"/>
        <v>150126</v>
      </c>
      <c r="H50" s="906">
        <f t="shared" si="58"/>
        <v>12001097</v>
      </c>
      <c r="I50" s="900">
        <v>9600644</v>
      </c>
      <c r="J50" s="909"/>
      <c r="K50" s="908"/>
      <c r="L50" s="900">
        <f t="shared" si="25"/>
        <v>9600644</v>
      </c>
      <c r="M50" s="934"/>
      <c r="N50" s="906">
        <f t="shared" si="26"/>
        <v>9600644</v>
      </c>
      <c r="O50" s="900">
        <v>87227</v>
      </c>
      <c r="P50" s="909"/>
      <c r="Q50" s="908"/>
      <c r="R50" s="900">
        <f t="shared" si="27"/>
        <v>87227</v>
      </c>
      <c r="S50" s="906">
        <v>87227</v>
      </c>
      <c r="T50" s="906">
        <f t="shared" si="28"/>
        <v>0</v>
      </c>
      <c r="U50" s="900"/>
      <c r="V50" s="909"/>
      <c r="W50" s="910"/>
      <c r="X50" s="900">
        <f t="shared" si="29"/>
        <v>0</v>
      </c>
      <c r="Y50" s="906"/>
      <c r="Z50" s="906">
        <f t="shared" si="30"/>
        <v>0</v>
      </c>
      <c r="AA50" s="900"/>
      <c r="AB50" s="907"/>
      <c r="AC50" s="908"/>
      <c r="AD50" s="900">
        <f t="shared" si="31"/>
        <v>0</v>
      </c>
      <c r="AE50" s="934"/>
      <c r="AF50" s="906">
        <f t="shared" si="32"/>
        <v>0</v>
      </c>
      <c r="AG50" s="900"/>
      <c r="AH50" s="909"/>
      <c r="AI50" s="908"/>
      <c r="AJ50" s="900">
        <f t="shared" si="33"/>
        <v>0</v>
      </c>
      <c r="AK50" s="934"/>
      <c r="AL50" s="906">
        <f t="shared" si="34"/>
        <v>0</v>
      </c>
      <c r="AM50" s="900"/>
      <c r="AN50" s="909"/>
      <c r="AO50" s="908"/>
      <c r="AP50" s="900">
        <f t="shared" si="35"/>
        <v>0</v>
      </c>
      <c r="AQ50" s="934"/>
      <c r="AR50" s="906">
        <f t="shared" si="36"/>
        <v>0</v>
      </c>
      <c r="AS50" s="900"/>
      <c r="AT50" s="909"/>
      <c r="AU50" s="908"/>
      <c r="AV50" s="900">
        <f t="shared" si="37"/>
        <v>0</v>
      </c>
      <c r="AW50" s="934"/>
      <c r="AX50" s="906">
        <f t="shared" si="38"/>
        <v>0</v>
      </c>
      <c r="AY50" s="900"/>
      <c r="AZ50" s="909"/>
      <c r="BA50" s="910"/>
      <c r="BB50" s="900">
        <f t="shared" si="39"/>
        <v>0</v>
      </c>
      <c r="BC50" s="906"/>
      <c r="BD50" s="935">
        <f t="shared" si="40"/>
        <v>0</v>
      </c>
      <c r="BE50" s="900">
        <v>23342</v>
      </c>
      <c r="BF50" s="909"/>
      <c r="BG50" s="908"/>
      <c r="BH50" s="900">
        <f t="shared" si="41"/>
        <v>23342</v>
      </c>
      <c r="BI50" s="906"/>
      <c r="BJ50" s="906">
        <f t="shared" si="42"/>
        <v>23342</v>
      </c>
      <c r="BK50" s="900">
        <v>16356</v>
      </c>
      <c r="BL50" s="909">
        <v>9227</v>
      </c>
      <c r="BM50" s="910"/>
      <c r="BN50" s="900">
        <f t="shared" si="43"/>
        <v>25583</v>
      </c>
      <c r="BO50" s="934"/>
      <c r="BP50" s="906">
        <f t="shared" si="44"/>
        <v>25583</v>
      </c>
      <c r="BQ50" s="900">
        <v>803021</v>
      </c>
      <c r="BR50" s="909">
        <v>111786</v>
      </c>
      <c r="BS50" s="910"/>
      <c r="BT50" s="900">
        <f t="shared" si="45"/>
        <v>914807</v>
      </c>
      <c r="BU50" s="934">
        <v>62899</v>
      </c>
      <c r="BV50" s="906">
        <f t="shared" si="46"/>
        <v>851908</v>
      </c>
      <c r="BW50" s="900"/>
      <c r="BX50" s="907"/>
      <c r="BY50" s="908"/>
      <c r="BZ50" s="900">
        <f t="shared" si="47"/>
        <v>0</v>
      </c>
      <c r="CA50" s="934"/>
      <c r="CB50" s="906">
        <f t="shared" si="48"/>
        <v>0</v>
      </c>
      <c r="CC50" s="900"/>
      <c r="CD50" s="907"/>
      <c r="CE50" s="908"/>
      <c r="CF50" s="900">
        <f t="shared" si="49"/>
        <v>0</v>
      </c>
      <c r="CG50" s="934"/>
      <c r="CH50" s="906">
        <f t="shared" si="50"/>
        <v>0</v>
      </c>
      <c r="CI50" s="900">
        <v>230726</v>
      </c>
      <c r="CJ50" s="909">
        <v>34275</v>
      </c>
      <c r="CK50" s="910"/>
      <c r="CL50" s="900">
        <f t="shared" si="51"/>
        <v>265001</v>
      </c>
      <c r="CM50" s="906"/>
      <c r="CN50" s="906">
        <f t="shared" si="52"/>
        <v>265001</v>
      </c>
      <c r="CO50" s="900">
        <v>1234619</v>
      </c>
      <c r="CP50" s="909"/>
      <c r="CQ50" s="910"/>
      <c r="CR50" s="900">
        <f t="shared" si="53"/>
        <v>1234619</v>
      </c>
      <c r="CS50" s="934"/>
      <c r="CT50" s="906">
        <f t="shared" si="54"/>
        <v>1234619</v>
      </c>
    </row>
    <row r="51" spans="2:98">
      <c r="B51" s="911" t="s">
        <v>913</v>
      </c>
      <c r="C51" s="900">
        <f t="shared" si="24"/>
        <v>332080802</v>
      </c>
      <c r="D51" s="900">
        <f t="shared" si="24"/>
        <v>33576635</v>
      </c>
      <c r="E51" s="900">
        <f t="shared" si="24"/>
        <v>0</v>
      </c>
      <c r="F51" s="900">
        <f t="shared" si="56"/>
        <v>365657437</v>
      </c>
      <c r="G51" s="900">
        <f t="shared" si="57"/>
        <v>1915883</v>
      </c>
      <c r="H51" s="906">
        <f>+F51-G51</f>
        <v>363741554</v>
      </c>
      <c r="I51" s="900"/>
      <c r="J51" s="909"/>
      <c r="K51" s="908"/>
      <c r="L51" s="900">
        <f t="shared" si="25"/>
        <v>0</v>
      </c>
      <c r="M51" s="934"/>
      <c r="N51" s="906">
        <f t="shared" si="26"/>
        <v>0</v>
      </c>
      <c r="O51" s="900">
        <v>257985420</v>
      </c>
      <c r="P51" s="909">
        <v>29163445</v>
      </c>
      <c r="Q51" s="908"/>
      <c r="R51" s="900">
        <f t="shared" si="27"/>
        <v>287148865</v>
      </c>
      <c r="S51" s="906"/>
      <c r="T51" s="906">
        <f t="shared" si="28"/>
        <v>287148865</v>
      </c>
      <c r="U51" s="900">
        <v>3420431</v>
      </c>
      <c r="V51" s="909"/>
      <c r="W51" s="910"/>
      <c r="X51" s="900">
        <f>U51+V51+W51</f>
        <v>3420431</v>
      </c>
      <c r="Y51" s="906">
        <v>1884651</v>
      </c>
      <c r="Z51" s="906">
        <f t="shared" si="30"/>
        <v>1535780</v>
      </c>
      <c r="AA51" s="900"/>
      <c r="AB51" s="907"/>
      <c r="AC51" s="908"/>
      <c r="AD51" s="900">
        <f t="shared" si="31"/>
        <v>0</v>
      </c>
      <c r="AE51" s="934"/>
      <c r="AF51" s="906">
        <f t="shared" si="32"/>
        <v>0</v>
      </c>
      <c r="AG51" s="900"/>
      <c r="AH51" s="909"/>
      <c r="AI51" s="908"/>
      <c r="AJ51" s="900">
        <f t="shared" si="33"/>
        <v>0</v>
      </c>
      <c r="AK51" s="934"/>
      <c r="AL51" s="906">
        <f t="shared" si="34"/>
        <v>0</v>
      </c>
      <c r="AM51" s="900">
        <v>1033035</v>
      </c>
      <c r="AN51" s="909">
        <v>265123</v>
      </c>
      <c r="AO51" s="908"/>
      <c r="AP51" s="900">
        <f t="shared" si="35"/>
        <v>1298158</v>
      </c>
      <c r="AQ51" s="934"/>
      <c r="AR51" s="906">
        <f t="shared" si="36"/>
        <v>1298158</v>
      </c>
      <c r="AS51" s="900"/>
      <c r="AT51" s="909"/>
      <c r="AU51" s="908"/>
      <c r="AV51" s="900">
        <f t="shared" si="37"/>
        <v>0</v>
      </c>
      <c r="AW51" s="934"/>
      <c r="AX51" s="906">
        <f t="shared" si="38"/>
        <v>0</v>
      </c>
      <c r="AY51" s="900">
        <v>2979317</v>
      </c>
      <c r="AZ51" s="909">
        <v>597812</v>
      </c>
      <c r="BA51" s="910"/>
      <c r="BB51" s="900">
        <f t="shared" si="39"/>
        <v>3577129</v>
      </c>
      <c r="BC51" s="906"/>
      <c r="BD51" s="935">
        <f t="shared" si="40"/>
        <v>3577129</v>
      </c>
      <c r="BE51" s="900">
        <v>4034959</v>
      </c>
      <c r="BF51" s="909">
        <v>738245</v>
      </c>
      <c r="BG51" s="908"/>
      <c r="BH51" s="900">
        <f t="shared" si="41"/>
        <v>4773204</v>
      </c>
      <c r="BI51" s="906">
        <v>31232</v>
      </c>
      <c r="BJ51" s="906">
        <f t="shared" si="42"/>
        <v>4741972</v>
      </c>
      <c r="BK51" s="909">
        <v>1764354</v>
      </c>
      <c r="BL51" s="909">
        <v>650022</v>
      </c>
      <c r="BM51" s="910"/>
      <c r="BN51" s="900">
        <f t="shared" si="43"/>
        <v>2414376</v>
      </c>
      <c r="BO51" s="934"/>
      <c r="BP51" s="906">
        <f t="shared" si="44"/>
        <v>2414376</v>
      </c>
      <c r="BQ51" s="900">
        <v>324340</v>
      </c>
      <c r="BR51" s="909"/>
      <c r="BS51" s="910"/>
      <c r="BT51" s="900">
        <f t="shared" si="45"/>
        <v>324340</v>
      </c>
      <c r="BU51" s="934"/>
      <c r="BV51" s="906">
        <f t="shared" si="46"/>
        <v>324340</v>
      </c>
      <c r="BW51" s="900">
        <v>6868593</v>
      </c>
      <c r="BX51" s="907">
        <v>2161988</v>
      </c>
      <c r="BY51" s="908"/>
      <c r="BZ51" s="900">
        <f t="shared" si="47"/>
        <v>9030581</v>
      </c>
      <c r="CA51" s="934"/>
      <c r="CB51" s="906">
        <f t="shared" si="48"/>
        <v>9030581</v>
      </c>
      <c r="CC51" s="900"/>
      <c r="CD51" s="909"/>
      <c r="CE51" s="910"/>
      <c r="CF51" s="900">
        <f t="shared" si="49"/>
        <v>0</v>
      </c>
      <c r="CG51" s="934"/>
      <c r="CH51" s="906">
        <f t="shared" si="50"/>
        <v>0</v>
      </c>
      <c r="CI51" s="900">
        <v>80551</v>
      </c>
      <c r="CJ51" s="909"/>
      <c r="CK51" s="910"/>
      <c r="CL51" s="900">
        <f t="shared" si="51"/>
        <v>80551</v>
      </c>
      <c r="CM51" s="906"/>
      <c r="CN51" s="906">
        <f t="shared" si="52"/>
        <v>80551</v>
      </c>
      <c r="CO51" s="900">
        <v>53589802</v>
      </c>
      <c r="CP51" s="909"/>
      <c r="CQ51" s="910"/>
      <c r="CR51" s="900">
        <f t="shared" si="53"/>
        <v>53589802</v>
      </c>
      <c r="CS51" s="934"/>
      <c r="CT51" s="906">
        <f t="shared" si="54"/>
        <v>53589802</v>
      </c>
    </row>
    <row r="52" spans="2:98">
      <c r="B52" s="911" t="s">
        <v>914</v>
      </c>
      <c r="C52" s="900"/>
      <c r="D52" s="900"/>
      <c r="E52" s="900"/>
      <c r="F52" s="900">
        <f t="shared" si="56"/>
        <v>0</v>
      </c>
      <c r="G52" s="900"/>
      <c r="H52" s="934"/>
      <c r="I52" s="900"/>
      <c r="J52" s="909"/>
      <c r="K52" s="908"/>
      <c r="L52" s="900">
        <f t="shared" si="25"/>
        <v>0</v>
      </c>
      <c r="M52" s="934"/>
      <c r="N52" s="906">
        <f t="shared" si="26"/>
        <v>0</v>
      </c>
      <c r="O52" s="900"/>
      <c r="P52" s="909"/>
      <c r="Q52" s="908"/>
      <c r="R52" s="900">
        <f t="shared" si="27"/>
        <v>0</v>
      </c>
      <c r="S52" s="906"/>
      <c r="T52" s="906">
        <f t="shared" si="28"/>
        <v>0</v>
      </c>
      <c r="U52" s="900"/>
      <c r="V52" s="909"/>
      <c r="W52" s="910"/>
      <c r="X52" s="900">
        <f t="shared" si="29"/>
        <v>0</v>
      </c>
      <c r="Y52" s="906"/>
      <c r="Z52" s="906">
        <f t="shared" si="30"/>
        <v>0</v>
      </c>
      <c r="AA52" s="900"/>
      <c r="AB52" s="907"/>
      <c r="AC52" s="908"/>
      <c r="AD52" s="900">
        <f t="shared" si="31"/>
        <v>0</v>
      </c>
      <c r="AE52" s="934"/>
      <c r="AF52" s="906">
        <f t="shared" si="32"/>
        <v>0</v>
      </c>
      <c r="AG52" s="900"/>
      <c r="AH52" s="909"/>
      <c r="AI52" s="908"/>
      <c r="AJ52" s="900">
        <f t="shared" si="33"/>
        <v>0</v>
      </c>
      <c r="AK52" s="934"/>
      <c r="AL52" s="906">
        <f t="shared" si="34"/>
        <v>0</v>
      </c>
      <c r="AM52" s="900"/>
      <c r="AN52" s="909"/>
      <c r="AO52" s="908"/>
      <c r="AP52" s="900">
        <f t="shared" si="35"/>
        <v>0</v>
      </c>
      <c r="AQ52" s="934"/>
      <c r="AR52" s="906">
        <f t="shared" si="36"/>
        <v>0</v>
      </c>
      <c r="AS52" s="900"/>
      <c r="AT52" s="909"/>
      <c r="AU52" s="908"/>
      <c r="AV52" s="900">
        <f t="shared" si="37"/>
        <v>0</v>
      </c>
      <c r="AW52" s="934"/>
      <c r="AX52" s="906">
        <f t="shared" si="38"/>
        <v>0</v>
      </c>
      <c r="AY52" s="900"/>
      <c r="AZ52" s="909"/>
      <c r="BA52" s="910"/>
      <c r="BB52" s="900">
        <f t="shared" si="39"/>
        <v>0</v>
      </c>
      <c r="BC52" s="906"/>
      <c r="BD52" s="935">
        <f t="shared" si="40"/>
        <v>0</v>
      </c>
      <c r="BE52" s="900"/>
      <c r="BF52" s="909"/>
      <c r="BG52" s="908"/>
      <c r="BH52" s="900">
        <f t="shared" si="41"/>
        <v>0</v>
      </c>
      <c r="BI52" s="906"/>
      <c r="BJ52" s="906">
        <f t="shared" si="42"/>
        <v>0</v>
      </c>
      <c r="BK52" s="900"/>
      <c r="BL52" s="909"/>
      <c r="BM52" s="910"/>
      <c r="BN52" s="900">
        <f t="shared" si="43"/>
        <v>0</v>
      </c>
      <c r="BO52" s="934"/>
      <c r="BP52" s="906">
        <f t="shared" si="44"/>
        <v>0</v>
      </c>
      <c r="BQ52" s="900"/>
      <c r="BR52" s="909"/>
      <c r="BS52" s="910"/>
      <c r="BT52" s="900">
        <f t="shared" si="45"/>
        <v>0</v>
      </c>
      <c r="BU52" s="934"/>
      <c r="BV52" s="906">
        <f t="shared" si="46"/>
        <v>0</v>
      </c>
      <c r="BW52" s="900"/>
      <c r="BX52" s="907"/>
      <c r="BY52" s="908"/>
      <c r="BZ52" s="900">
        <f t="shared" si="47"/>
        <v>0</v>
      </c>
      <c r="CA52" s="934"/>
      <c r="CB52" s="906">
        <f t="shared" si="48"/>
        <v>0</v>
      </c>
      <c r="CC52" s="900"/>
      <c r="CD52" s="909"/>
      <c r="CE52" s="910"/>
      <c r="CF52" s="900">
        <f t="shared" si="49"/>
        <v>0</v>
      </c>
      <c r="CG52" s="934"/>
      <c r="CH52" s="906">
        <f t="shared" si="50"/>
        <v>0</v>
      </c>
      <c r="CI52" s="900"/>
      <c r="CJ52" s="909"/>
      <c r="CK52" s="910"/>
      <c r="CL52" s="900">
        <f t="shared" si="51"/>
        <v>0</v>
      </c>
      <c r="CM52" s="906"/>
      <c r="CN52" s="906">
        <f t="shared" si="52"/>
        <v>0</v>
      </c>
      <c r="CO52" s="900"/>
      <c r="CP52" s="909"/>
      <c r="CQ52" s="910"/>
      <c r="CR52" s="900">
        <f t="shared" si="53"/>
        <v>0</v>
      </c>
      <c r="CS52" s="934"/>
      <c r="CT52" s="906">
        <f t="shared" si="54"/>
        <v>0</v>
      </c>
    </row>
    <row r="53" spans="2:98">
      <c r="B53" s="905" t="s">
        <v>401</v>
      </c>
      <c r="C53" s="900">
        <f t="shared" si="24"/>
        <v>22955915</v>
      </c>
      <c r="D53" s="900">
        <f t="shared" si="24"/>
        <v>11175</v>
      </c>
      <c r="E53" s="900">
        <f t="shared" si="24"/>
        <v>0</v>
      </c>
      <c r="F53" s="900">
        <f t="shared" si="56"/>
        <v>22967090</v>
      </c>
      <c r="G53" s="900">
        <f t="shared" ref="G53:G56" si="59">M53+S53+Y53+AE53+AK53+AQ53+AW53+BC53+BI53+BO53+BU53+CA53+CG53+CM53+CS53</f>
        <v>-1131538</v>
      </c>
      <c r="H53" s="906">
        <f>+F53-G53</f>
        <v>24098628</v>
      </c>
      <c r="I53" s="900">
        <v>14510433</v>
      </c>
      <c r="J53" s="909"/>
      <c r="K53" s="908"/>
      <c r="L53" s="900">
        <f t="shared" si="25"/>
        <v>14510433</v>
      </c>
      <c r="M53" s="934">
        <v>-1167732</v>
      </c>
      <c r="N53" s="906">
        <f t="shared" si="26"/>
        <v>15678165</v>
      </c>
      <c r="O53" s="900">
        <v>428293</v>
      </c>
      <c r="P53" s="909"/>
      <c r="Q53" s="908"/>
      <c r="R53" s="900">
        <f t="shared" si="27"/>
        <v>428293</v>
      </c>
      <c r="S53" s="906"/>
      <c r="T53" s="906">
        <f t="shared" si="28"/>
        <v>428293</v>
      </c>
      <c r="U53" s="900">
        <v>832480</v>
      </c>
      <c r="V53" s="909"/>
      <c r="W53" s="910"/>
      <c r="X53" s="900">
        <f t="shared" si="29"/>
        <v>832480</v>
      </c>
      <c r="Y53" s="906"/>
      <c r="Z53" s="906">
        <f t="shared" si="30"/>
        <v>832480</v>
      </c>
      <c r="AA53" s="900">
        <v>3008137</v>
      </c>
      <c r="AB53" s="907"/>
      <c r="AC53" s="908"/>
      <c r="AD53" s="900">
        <f t="shared" si="31"/>
        <v>3008137</v>
      </c>
      <c r="AE53" s="934"/>
      <c r="AF53" s="906">
        <f t="shared" si="32"/>
        <v>3008137</v>
      </c>
      <c r="AG53" s="900"/>
      <c r="AH53" s="909"/>
      <c r="AI53" s="908"/>
      <c r="AJ53" s="900">
        <f t="shared" si="33"/>
        <v>0</v>
      </c>
      <c r="AK53" s="934"/>
      <c r="AL53" s="906">
        <f t="shared" si="34"/>
        <v>0</v>
      </c>
      <c r="AM53" s="900">
        <v>458282</v>
      </c>
      <c r="AN53" s="909"/>
      <c r="AO53" s="908"/>
      <c r="AP53" s="900">
        <f t="shared" si="35"/>
        <v>458282</v>
      </c>
      <c r="AQ53" s="934"/>
      <c r="AR53" s="906">
        <f t="shared" si="36"/>
        <v>458282</v>
      </c>
      <c r="AS53" s="900">
        <v>540785</v>
      </c>
      <c r="AT53" s="909"/>
      <c r="AU53" s="908"/>
      <c r="AV53" s="900">
        <f t="shared" si="37"/>
        <v>540785</v>
      </c>
      <c r="AW53" s="934"/>
      <c r="AX53" s="906">
        <f t="shared" si="38"/>
        <v>540785</v>
      </c>
      <c r="AY53" s="900">
        <v>859978</v>
      </c>
      <c r="AZ53" s="909"/>
      <c r="BA53" s="910"/>
      <c r="BB53" s="900">
        <f t="shared" si="39"/>
        <v>859978</v>
      </c>
      <c r="BC53" s="906"/>
      <c r="BD53" s="935">
        <f t="shared" si="40"/>
        <v>859978</v>
      </c>
      <c r="BE53" s="900"/>
      <c r="BF53" s="909"/>
      <c r="BG53" s="908"/>
      <c r="BH53" s="900">
        <f t="shared" si="41"/>
        <v>0</v>
      </c>
      <c r="BI53" s="906"/>
      <c r="BJ53" s="906">
        <f t="shared" si="42"/>
        <v>0</v>
      </c>
      <c r="BK53" s="900">
        <v>950046</v>
      </c>
      <c r="BL53" s="909">
        <v>58</v>
      </c>
      <c r="BM53" s="910"/>
      <c r="BN53" s="900">
        <f t="shared" si="43"/>
        <v>950104</v>
      </c>
      <c r="BO53" s="906">
        <v>36194</v>
      </c>
      <c r="BP53" s="906">
        <f t="shared" si="44"/>
        <v>913910</v>
      </c>
      <c r="BQ53" s="900">
        <v>111365</v>
      </c>
      <c r="BR53" s="909"/>
      <c r="BS53" s="910"/>
      <c r="BT53" s="900">
        <f t="shared" si="45"/>
        <v>111365</v>
      </c>
      <c r="BU53" s="934"/>
      <c r="BV53" s="906">
        <f t="shared" si="46"/>
        <v>111365</v>
      </c>
      <c r="BW53" s="900">
        <v>912241</v>
      </c>
      <c r="BX53" s="909"/>
      <c r="BY53" s="910"/>
      <c r="BZ53" s="900">
        <f t="shared" si="47"/>
        <v>912241</v>
      </c>
      <c r="CA53" s="934"/>
      <c r="CB53" s="906">
        <f t="shared" si="48"/>
        <v>912241</v>
      </c>
      <c r="CC53" s="900"/>
      <c r="CD53" s="909"/>
      <c r="CE53" s="910"/>
      <c r="CF53" s="900">
        <f t="shared" si="49"/>
        <v>0</v>
      </c>
      <c r="CG53" s="934"/>
      <c r="CH53" s="906">
        <f t="shared" si="50"/>
        <v>0</v>
      </c>
      <c r="CI53" s="900">
        <v>343875</v>
      </c>
      <c r="CJ53" s="909">
        <v>11117</v>
      </c>
      <c r="CK53" s="910"/>
      <c r="CL53" s="900">
        <f t="shared" si="51"/>
        <v>354992</v>
      </c>
      <c r="CM53" s="906"/>
      <c r="CN53" s="906">
        <f t="shared" si="52"/>
        <v>354992</v>
      </c>
      <c r="CO53" s="900"/>
      <c r="CP53" s="909"/>
      <c r="CQ53" s="910"/>
      <c r="CR53" s="900">
        <f t="shared" si="53"/>
        <v>0</v>
      </c>
      <c r="CS53" s="934"/>
      <c r="CT53" s="906">
        <f t="shared" si="54"/>
        <v>0</v>
      </c>
    </row>
    <row r="54" spans="2:98">
      <c r="B54" s="905" t="s">
        <v>402</v>
      </c>
      <c r="C54" s="900">
        <f t="shared" si="24"/>
        <v>48001777</v>
      </c>
      <c r="D54" s="900">
        <f t="shared" si="24"/>
        <v>850128</v>
      </c>
      <c r="E54" s="900">
        <f t="shared" si="24"/>
        <v>0</v>
      </c>
      <c r="F54" s="900">
        <f t="shared" si="56"/>
        <v>48851905</v>
      </c>
      <c r="G54" s="900">
        <f t="shared" si="59"/>
        <v>2296361</v>
      </c>
      <c r="H54" s="906">
        <f>+F54-G54</f>
        <v>46555544</v>
      </c>
      <c r="I54" s="900">
        <v>11218402</v>
      </c>
      <c r="J54" s="909">
        <v>221125</v>
      </c>
      <c r="K54" s="908"/>
      <c r="L54" s="900">
        <f t="shared" si="25"/>
        <v>11439527</v>
      </c>
      <c r="M54" s="934">
        <v>2248228</v>
      </c>
      <c r="N54" s="906">
        <f t="shared" si="26"/>
        <v>9191299</v>
      </c>
      <c r="O54" s="900">
        <v>3685344</v>
      </c>
      <c r="P54" s="909">
        <v>10324</v>
      </c>
      <c r="Q54" s="908"/>
      <c r="R54" s="900">
        <f t="shared" si="27"/>
        <v>3695668</v>
      </c>
      <c r="S54" s="906"/>
      <c r="T54" s="906">
        <f t="shared" si="28"/>
        <v>3695668</v>
      </c>
      <c r="U54" s="900">
        <v>2087366</v>
      </c>
      <c r="V54" s="909">
        <v>34583</v>
      </c>
      <c r="W54" s="910"/>
      <c r="X54" s="900">
        <f t="shared" si="29"/>
        <v>2121949</v>
      </c>
      <c r="Y54" s="906">
        <v>22188</v>
      </c>
      <c r="Z54" s="906">
        <f t="shared" si="30"/>
        <v>2099761</v>
      </c>
      <c r="AA54" s="900">
        <v>820274</v>
      </c>
      <c r="AB54" s="909">
        <v>22279</v>
      </c>
      <c r="AC54" s="908"/>
      <c r="AD54" s="900">
        <f t="shared" si="31"/>
        <v>842553</v>
      </c>
      <c r="AE54" s="906"/>
      <c r="AF54" s="906">
        <f t="shared" si="32"/>
        <v>842553</v>
      </c>
      <c r="AG54" s="900"/>
      <c r="AH54" s="909"/>
      <c r="AI54" s="908"/>
      <c r="AJ54" s="900">
        <f t="shared" si="33"/>
        <v>0</v>
      </c>
      <c r="AK54" s="906"/>
      <c r="AL54" s="906">
        <f t="shared" si="34"/>
        <v>0</v>
      </c>
      <c r="AM54" s="900">
        <v>9600337</v>
      </c>
      <c r="AN54" s="909">
        <v>4317</v>
      </c>
      <c r="AO54" s="908"/>
      <c r="AP54" s="900">
        <f t="shared" si="35"/>
        <v>9604654</v>
      </c>
      <c r="AQ54" s="906"/>
      <c r="AR54" s="906">
        <f t="shared" si="36"/>
        <v>9604654</v>
      </c>
      <c r="AS54" s="900">
        <v>3875460</v>
      </c>
      <c r="AT54" s="909">
        <v>364214</v>
      </c>
      <c r="AU54" s="908"/>
      <c r="AV54" s="900">
        <f t="shared" si="37"/>
        <v>4239674</v>
      </c>
      <c r="AW54" s="934"/>
      <c r="AX54" s="906">
        <f t="shared" si="38"/>
        <v>4239674</v>
      </c>
      <c r="AY54" s="900">
        <v>4456806</v>
      </c>
      <c r="AZ54" s="909">
        <v>12491</v>
      </c>
      <c r="BA54" s="910"/>
      <c r="BB54" s="900">
        <f t="shared" si="39"/>
        <v>4469297</v>
      </c>
      <c r="BC54" s="906"/>
      <c r="BD54" s="935">
        <f t="shared" si="40"/>
        <v>4469297</v>
      </c>
      <c r="BE54" s="900">
        <v>2559053</v>
      </c>
      <c r="BF54" s="909">
        <v>70230</v>
      </c>
      <c r="BG54" s="908"/>
      <c r="BH54" s="900">
        <f t="shared" si="41"/>
        <v>2629283</v>
      </c>
      <c r="BI54" s="906">
        <v>10130</v>
      </c>
      <c r="BJ54" s="906">
        <f t="shared" si="42"/>
        <v>2619153</v>
      </c>
      <c r="BK54" s="900">
        <v>796535</v>
      </c>
      <c r="BL54" s="909">
        <v>6168</v>
      </c>
      <c r="BM54" s="910"/>
      <c r="BN54" s="900">
        <f t="shared" si="43"/>
        <v>802703</v>
      </c>
      <c r="BO54" s="906">
        <v>15815</v>
      </c>
      <c r="BP54" s="906">
        <f t="shared" si="44"/>
        <v>786888</v>
      </c>
      <c r="BQ54" s="900">
        <v>1567804</v>
      </c>
      <c r="BR54" s="909">
        <v>104</v>
      </c>
      <c r="BS54" s="910"/>
      <c r="BT54" s="900">
        <f t="shared" si="45"/>
        <v>1567908</v>
      </c>
      <c r="BU54" s="934"/>
      <c r="BV54" s="906">
        <f t="shared" si="46"/>
        <v>1567908</v>
      </c>
      <c r="BW54" s="900">
        <v>3511195</v>
      </c>
      <c r="BX54" s="909">
        <v>103881</v>
      </c>
      <c r="BY54" s="910"/>
      <c r="BZ54" s="900">
        <f t="shared" si="47"/>
        <v>3615076</v>
      </c>
      <c r="CA54" s="906"/>
      <c r="CB54" s="906">
        <f t="shared" si="48"/>
        <v>3615076</v>
      </c>
      <c r="CC54" s="900"/>
      <c r="CD54" s="909"/>
      <c r="CE54" s="910"/>
      <c r="CF54" s="900">
        <f t="shared" si="49"/>
        <v>0</v>
      </c>
      <c r="CG54" s="934"/>
      <c r="CH54" s="906">
        <f t="shared" si="50"/>
        <v>0</v>
      </c>
      <c r="CI54" s="900">
        <v>2127414</v>
      </c>
      <c r="CJ54" s="909">
        <v>412</v>
      </c>
      <c r="CK54" s="910"/>
      <c r="CL54" s="900">
        <f t="shared" si="51"/>
        <v>2127826</v>
      </c>
      <c r="CM54" s="906"/>
      <c r="CN54" s="906">
        <f t="shared" si="52"/>
        <v>2127826</v>
      </c>
      <c r="CO54" s="900">
        <v>1695787</v>
      </c>
      <c r="CP54" s="909"/>
      <c r="CQ54" s="910"/>
      <c r="CR54" s="900">
        <f t="shared" si="53"/>
        <v>1695787</v>
      </c>
      <c r="CS54" s="934"/>
      <c r="CT54" s="906">
        <f t="shared" si="54"/>
        <v>1695787</v>
      </c>
    </row>
    <row r="55" spans="2:98">
      <c r="B55" s="911" t="s">
        <v>915</v>
      </c>
      <c r="C55" s="900">
        <f t="shared" si="24"/>
        <v>20472182</v>
      </c>
      <c r="D55" s="900">
        <f t="shared" si="24"/>
        <v>240044</v>
      </c>
      <c r="E55" s="900">
        <f t="shared" si="24"/>
        <v>0</v>
      </c>
      <c r="F55" s="900">
        <f t="shared" si="56"/>
        <v>20712226</v>
      </c>
      <c r="G55" s="900">
        <f t="shared" si="59"/>
        <v>551682</v>
      </c>
      <c r="H55" s="906">
        <f>+F55-G55</f>
        <v>20160544</v>
      </c>
      <c r="I55" s="900">
        <v>10769924</v>
      </c>
      <c r="J55" s="909">
        <v>53655</v>
      </c>
      <c r="K55" s="908"/>
      <c r="L55" s="900">
        <f t="shared" si="25"/>
        <v>10823579</v>
      </c>
      <c r="M55" s="934"/>
      <c r="N55" s="906">
        <f t="shared" si="26"/>
        <v>10823579</v>
      </c>
      <c r="O55" s="900">
        <v>734985</v>
      </c>
      <c r="P55" s="909"/>
      <c r="Q55" s="908"/>
      <c r="R55" s="900">
        <f t="shared" si="27"/>
        <v>734985</v>
      </c>
      <c r="S55" s="906"/>
      <c r="T55" s="906">
        <f t="shared" si="28"/>
        <v>734985</v>
      </c>
      <c r="U55" s="900">
        <v>486686</v>
      </c>
      <c r="V55" s="909">
        <v>43540</v>
      </c>
      <c r="W55" s="910"/>
      <c r="X55" s="900">
        <f t="shared" si="29"/>
        <v>530226</v>
      </c>
      <c r="Y55" s="906"/>
      <c r="Z55" s="906">
        <f t="shared" si="30"/>
        <v>530226</v>
      </c>
      <c r="AA55" s="900">
        <v>586849</v>
      </c>
      <c r="AB55" s="909"/>
      <c r="AC55" s="908"/>
      <c r="AD55" s="900">
        <f t="shared" si="31"/>
        <v>586849</v>
      </c>
      <c r="AE55" s="934"/>
      <c r="AF55" s="906">
        <f t="shared" si="32"/>
        <v>586849</v>
      </c>
      <c r="AG55" s="900"/>
      <c r="AH55" s="909"/>
      <c r="AI55" s="908"/>
      <c r="AJ55" s="900">
        <f t="shared" si="33"/>
        <v>0</v>
      </c>
      <c r="AK55" s="934"/>
      <c r="AL55" s="906">
        <f t="shared" si="34"/>
        <v>0</v>
      </c>
      <c r="AM55" s="900">
        <v>1091081</v>
      </c>
      <c r="AN55" s="909">
        <v>52576</v>
      </c>
      <c r="AO55" s="908"/>
      <c r="AP55" s="900">
        <f t="shared" si="35"/>
        <v>1143657</v>
      </c>
      <c r="AQ55" s="934"/>
      <c r="AR55" s="906">
        <f t="shared" si="36"/>
        <v>1143657</v>
      </c>
      <c r="AS55" s="909">
        <v>1214664</v>
      </c>
      <c r="AT55" s="909">
        <v>1</v>
      </c>
      <c r="AU55" s="908"/>
      <c r="AV55" s="900">
        <f t="shared" si="37"/>
        <v>1214665</v>
      </c>
      <c r="AW55" s="934">
        <v>550000</v>
      </c>
      <c r="AX55" s="906">
        <f t="shared" si="38"/>
        <v>664665</v>
      </c>
      <c r="AY55" s="900">
        <v>1795430</v>
      </c>
      <c r="AZ55" s="909">
        <v>44503</v>
      </c>
      <c r="BA55" s="910"/>
      <c r="BB55" s="900">
        <f t="shared" si="39"/>
        <v>1839933</v>
      </c>
      <c r="BC55" s="906"/>
      <c r="BD55" s="935">
        <f t="shared" si="40"/>
        <v>1839933</v>
      </c>
      <c r="BE55" s="900">
        <v>991553</v>
      </c>
      <c r="BF55" s="909"/>
      <c r="BG55" s="908"/>
      <c r="BH55" s="900">
        <f t="shared" si="41"/>
        <v>991553</v>
      </c>
      <c r="BI55" s="906"/>
      <c r="BJ55" s="906">
        <f t="shared" si="42"/>
        <v>991553</v>
      </c>
      <c r="BK55" s="900">
        <v>536446</v>
      </c>
      <c r="BL55" s="909"/>
      <c r="BM55" s="910"/>
      <c r="BN55" s="900">
        <f t="shared" si="43"/>
        <v>536446</v>
      </c>
      <c r="BO55" s="906">
        <v>1682</v>
      </c>
      <c r="BP55" s="906">
        <f t="shared" si="44"/>
        <v>534764</v>
      </c>
      <c r="BQ55" s="900">
        <v>40923</v>
      </c>
      <c r="BR55" s="909"/>
      <c r="BS55" s="910"/>
      <c r="BT55" s="900">
        <f t="shared" si="45"/>
        <v>40923</v>
      </c>
      <c r="BU55" s="934"/>
      <c r="BV55" s="906">
        <f t="shared" si="46"/>
        <v>40923</v>
      </c>
      <c r="BW55" s="900">
        <v>1157475</v>
      </c>
      <c r="BX55" s="909"/>
      <c r="BY55" s="910"/>
      <c r="BZ55" s="900">
        <f t="shared" si="47"/>
        <v>1157475</v>
      </c>
      <c r="CA55" s="906"/>
      <c r="CB55" s="906">
        <f t="shared" si="48"/>
        <v>1157475</v>
      </c>
      <c r="CC55" s="900"/>
      <c r="CD55" s="909"/>
      <c r="CE55" s="910"/>
      <c r="CF55" s="900">
        <f t="shared" si="49"/>
        <v>0</v>
      </c>
      <c r="CG55" s="934"/>
      <c r="CH55" s="906">
        <f t="shared" si="50"/>
        <v>0</v>
      </c>
      <c r="CI55" s="900">
        <v>999620</v>
      </c>
      <c r="CJ55" s="909">
        <v>45769</v>
      </c>
      <c r="CK55" s="910"/>
      <c r="CL55" s="900">
        <f t="shared" si="51"/>
        <v>1045389</v>
      </c>
      <c r="CM55" s="906"/>
      <c r="CN55" s="906">
        <f t="shared" si="52"/>
        <v>1045389</v>
      </c>
      <c r="CO55" s="900">
        <v>66546</v>
      </c>
      <c r="CP55" s="909"/>
      <c r="CQ55" s="910"/>
      <c r="CR55" s="900">
        <f t="shared" si="53"/>
        <v>66546</v>
      </c>
      <c r="CS55" s="934"/>
      <c r="CT55" s="906">
        <f t="shared" si="54"/>
        <v>66546</v>
      </c>
    </row>
    <row r="56" spans="2:98">
      <c r="B56" s="911" t="s">
        <v>916</v>
      </c>
      <c r="C56" s="900">
        <f t="shared" si="24"/>
        <v>48028674</v>
      </c>
      <c r="D56" s="900">
        <f t="shared" si="24"/>
        <v>5290465</v>
      </c>
      <c r="E56" s="900">
        <f t="shared" si="24"/>
        <v>0</v>
      </c>
      <c r="F56" s="900">
        <f t="shared" si="56"/>
        <v>53319139</v>
      </c>
      <c r="G56" s="900">
        <f t="shared" si="59"/>
        <v>12419</v>
      </c>
      <c r="H56" s="906">
        <f>+F56-G56</f>
        <v>53306720</v>
      </c>
      <c r="I56" s="900">
        <v>18168165</v>
      </c>
      <c r="J56" s="909">
        <v>2782836</v>
      </c>
      <c r="K56" s="908"/>
      <c r="L56" s="900">
        <f t="shared" si="25"/>
        <v>20951001</v>
      </c>
      <c r="M56" s="934">
        <v>-807224</v>
      </c>
      <c r="N56" s="906">
        <f t="shared" si="26"/>
        <v>21758225</v>
      </c>
      <c r="O56" s="900">
        <f>730628+2028147-87227</f>
        <v>2671548</v>
      </c>
      <c r="P56" s="909">
        <v>178000</v>
      </c>
      <c r="Q56" s="908"/>
      <c r="R56" s="900">
        <f t="shared" si="27"/>
        <v>2849548</v>
      </c>
      <c r="S56" s="906">
        <f>49482-87227</f>
        <v>-37745</v>
      </c>
      <c r="T56" s="906">
        <f t="shared" si="28"/>
        <v>2887293</v>
      </c>
      <c r="U56" s="900">
        <v>1050376</v>
      </c>
      <c r="V56" s="909">
        <v>53008</v>
      </c>
      <c r="W56" s="910"/>
      <c r="X56" s="900">
        <f t="shared" si="29"/>
        <v>1103384</v>
      </c>
      <c r="Y56" s="906">
        <v>52566</v>
      </c>
      <c r="Z56" s="906">
        <f t="shared" si="30"/>
        <v>1050818</v>
      </c>
      <c r="AA56" s="900">
        <v>765658</v>
      </c>
      <c r="AB56" s="909">
        <f>253640+57709</f>
        <v>311349</v>
      </c>
      <c r="AC56" s="908"/>
      <c r="AD56" s="900">
        <f t="shared" si="31"/>
        <v>1077007</v>
      </c>
      <c r="AE56" s="906"/>
      <c r="AF56" s="906">
        <f t="shared" si="32"/>
        <v>1077007</v>
      </c>
      <c r="AG56" s="900"/>
      <c r="AH56" s="909"/>
      <c r="AI56" s="908"/>
      <c r="AJ56" s="900">
        <f t="shared" si="33"/>
        <v>0</v>
      </c>
      <c r="AK56" s="906"/>
      <c r="AL56" s="906">
        <f t="shared" si="34"/>
        <v>0</v>
      </c>
      <c r="AM56" s="900">
        <v>5197752</v>
      </c>
      <c r="AN56" s="909">
        <v>325462</v>
      </c>
      <c r="AO56" s="908"/>
      <c r="AP56" s="900">
        <f t="shared" si="35"/>
        <v>5523214</v>
      </c>
      <c r="AQ56" s="906">
        <v>126767</v>
      </c>
      <c r="AR56" s="906">
        <f>+AP56-AQ56</f>
        <v>5396447</v>
      </c>
      <c r="AS56" s="900">
        <v>1570200</v>
      </c>
      <c r="AT56" s="909">
        <v>226789</v>
      </c>
      <c r="AU56" s="908"/>
      <c r="AV56" s="900">
        <f t="shared" si="37"/>
        <v>1796989</v>
      </c>
      <c r="AW56" s="934"/>
      <c r="AX56" s="906">
        <f t="shared" si="38"/>
        <v>1796989</v>
      </c>
      <c r="AY56" s="900">
        <v>3023762</v>
      </c>
      <c r="AZ56" s="909">
        <f>103589+122929+18899</f>
        <v>245417</v>
      </c>
      <c r="BA56" s="910"/>
      <c r="BB56" s="900">
        <f t="shared" si="39"/>
        <v>3269179</v>
      </c>
      <c r="BC56" s="906">
        <v>18899</v>
      </c>
      <c r="BD56" s="935">
        <f t="shared" si="40"/>
        <v>3250280</v>
      </c>
      <c r="BE56" s="900">
        <v>2670480</v>
      </c>
      <c r="BF56" s="909">
        <f>132742+18492</f>
        <v>151234</v>
      </c>
      <c r="BG56" s="908"/>
      <c r="BH56" s="900">
        <f t="shared" si="41"/>
        <v>2821714</v>
      </c>
      <c r="BI56" s="906">
        <v>2490</v>
      </c>
      <c r="BJ56" s="906">
        <f t="shared" si="42"/>
        <v>2819224</v>
      </c>
      <c r="BK56" s="900">
        <v>1311303</v>
      </c>
      <c r="BL56" s="909">
        <f>26113+40885</f>
        <v>66998</v>
      </c>
      <c r="BM56" s="910"/>
      <c r="BN56" s="900">
        <f t="shared" si="43"/>
        <v>1378301</v>
      </c>
      <c r="BO56" s="906">
        <v>466796</v>
      </c>
      <c r="BP56" s="906">
        <f t="shared" si="44"/>
        <v>911505</v>
      </c>
      <c r="BQ56" s="900">
        <v>1609687</v>
      </c>
      <c r="BR56" s="909">
        <v>66901</v>
      </c>
      <c r="BS56" s="910"/>
      <c r="BT56" s="900">
        <f t="shared" si="45"/>
        <v>1676588</v>
      </c>
      <c r="BU56" s="934"/>
      <c r="BV56" s="906">
        <f t="shared" si="46"/>
        <v>1676588</v>
      </c>
      <c r="BW56" s="900">
        <v>7029952</v>
      </c>
      <c r="BX56" s="909">
        <v>852145</v>
      </c>
      <c r="BY56" s="910"/>
      <c r="BZ56" s="900">
        <f t="shared" si="47"/>
        <v>7882097</v>
      </c>
      <c r="CA56" s="906">
        <v>17001</v>
      </c>
      <c r="CB56" s="906">
        <f t="shared" si="48"/>
        <v>7865096</v>
      </c>
      <c r="CC56" s="900"/>
      <c r="CD56" s="909"/>
      <c r="CE56" s="910"/>
      <c r="CF56" s="900">
        <f t="shared" si="49"/>
        <v>0</v>
      </c>
      <c r="CG56" s="906"/>
      <c r="CH56" s="906">
        <f t="shared" si="50"/>
        <v>0</v>
      </c>
      <c r="CI56" s="900">
        <v>2959791</v>
      </c>
      <c r="CJ56" s="909">
        <v>30326</v>
      </c>
      <c r="CK56" s="910"/>
      <c r="CL56" s="900">
        <f t="shared" si="51"/>
        <v>2990117</v>
      </c>
      <c r="CM56" s="906">
        <v>172869</v>
      </c>
      <c r="CN56" s="906">
        <f t="shared" si="52"/>
        <v>2817248</v>
      </c>
      <c r="CO56" s="900"/>
      <c r="CP56" s="909"/>
      <c r="CQ56" s="910"/>
      <c r="CR56" s="900">
        <f t="shared" si="53"/>
        <v>0</v>
      </c>
      <c r="CS56" s="934"/>
      <c r="CT56" s="906">
        <f t="shared" si="54"/>
        <v>0</v>
      </c>
    </row>
    <row r="57" spans="2:98">
      <c r="B57" s="911" t="s">
        <v>917</v>
      </c>
      <c r="C57" s="900">
        <f t="shared" si="24"/>
        <v>0</v>
      </c>
      <c r="D57" s="900">
        <f t="shared" si="24"/>
        <v>0</v>
      </c>
      <c r="E57" s="900"/>
      <c r="F57" s="900">
        <f t="shared" si="56"/>
        <v>0</v>
      </c>
      <c r="G57" s="900"/>
      <c r="H57" s="934"/>
      <c r="I57" s="900"/>
      <c r="J57" s="909"/>
      <c r="K57" s="908"/>
      <c r="L57" s="900">
        <f t="shared" si="25"/>
        <v>0</v>
      </c>
      <c r="M57" s="934"/>
      <c r="N57" s="906">
        <f t="shared" si="26"/>
        <v>0</v>
      </c>
      <c r="O57" s="900"/>
      <c r="P57" s="909"/>
      <c r="Q57" s="908"/>
      <c r="R57" s="900">
        <f t="shared" si="27"/>
        <v>0</v>
      </c>
      <c r="S57" s="906"/>
      <c r="T57" s="906">
        <f t="shared" si="28"/>
        <v>0</v>
      </c>
      <c r="U57" s="900"/>
      <c r="V57" s="909"/>
      <c r="W57" s="910"/>
      <c r="X57" s="900">
        <f t="shared" si="29"/>
        <v>0</v>
      </c>
      <c r="Y57" s="906"/>
      <c r="Z57" s="906">
        <f t="shared" si="30"/>
        <v>0</v>
      </c>
      <c r="AA57" s="900"/>
      <c r="AB57" s="907"/>
      <c r="AC57" s="908"/>
      <c r="AD57" s="900">
        <f t="shared" si="31"/>
        <v>0</v>
      </c>
      <c r="AE57" s="934"/>
      <c r="AF57" s="906">
        <f t="shared" si="32"/>
        <v>0</v>
      </c>
      <c r="AG57" s="900"/>
      <c r="AH57" s="909"/>
      <c r="AI57" s="908"/>
      <c r="AJ57" s="900">
        <f t="shared" si="33"/>
        <v>0</v>
      </c>
      <c r="AK57" s="934"/>
      <c r="AL57" s="906">
        <f t="shared" si="34"/>
        <v>0</v>
      </c>
      <c r="AM57" s="900"/>
      <c r="AN57" s="909"/>
      <c r="AO57" s="908"/>
      <c r="AP57" s="900">
        <f t="shared" si="35"/>
        <v>0</v>
      </c>
      <c r="AQ57" s="934"/>
      <c r="AR57" s="906">
        <f t="shared" si="36"/>
        <v>0</v>
      </c>
      <c r="AS57" s="900"/>
      <c r="AT57" s="909"/>
      <c r="AU57" s="908"/>
      <c r="AV57" s="900">
        <f t="shared" si="37"/>
        <v>0</v>
      </c>
      <c r="AW57" s="934"/>
      <c r="AX57" s="906">
        <f t="shared" si="38"/>
        <v>0</v>
      </c>
      <c r="AY57" s="900"/>
      <c r="AZ57" s="909"/>
      <c r="BA57" s="910"/>
      <c r="BB57" s="900">
        <f t="shared" si="39"/>
        <v>0</v>
      </c>
      <c r="BC57" s="906"/>
      <c r="BD57" s="935">
        <f t="shared" si="40"/>
        <v>0</v>
      </c>
      <c r="BE57" s="900"/>
      <c r="BF57" s="909"/>
      <c r="BG57" s="908"/>
      <c r="BH57" s="900">
        <f t="shared" si="41"/>
        <v>0</v>
      </c>
      <c r="BI57" s="906"/>
      <c r="BJ57" s="906">
        <f t="shared" si="42"/>
        <v>0</v>
      </c>
      <c r="BK57" s="900"/>
      <c r="BL57" s="909"/>
      <c r="BM57" s="910"/>
      <c r="BN57" s="900">
        <f t="shared" si="43"/>
        <v>0</v>
      </c>
      <c r="BO57" s="906"/>
      <c r="BP57" s="906">
        <f t="shared" si="44"/>
        <v>0</v>
      </c>
      <c r="BQ57" s="900"/>
      <c r="BR57" s="909"/>
      <c r="BS57" s="910"/>
      <c r="BT57" s="900">
        <f t="shared" si="45"/>
        <v>0</v>
      </c>
      <c r="BU57" s="934"/>
      <c r="BV57" s="906">
        <f t="shared" si="46"/>
        <v>0</v>
      </c>
      <c r="BW57" s="900"/>
      <c r="BX57" s="909"/>
      <c r="BY57" s="910"/>
      <c r="BZ57" s="900">
        <f t="shared" si="47"/>
        <v>0</v>
      </c>
      <c r="CA57" s="906"/>
      <c r="CB57" s="906">
        <f t="shared" si="48"/>
        <v>0</v>
      </c>
      <c r="CC57" s="900"/>
      <c r="CD57" s="909"/>
      <c r="CE57" s="910"/>
      <c r="CF57" s="900">
        <f t="shared" si="49"/>
        <v>0</v>
      </c>
      <c r="CG57" s="934"/>
      <c r="CH57" s="906">
        <f t="shared" si="50"/>
        <v>0</v>
      </c>
      <c r="CI57" s="900"/>
      <c r="CJ57" s="909"/>
      <c r="CK57" s="910"/>
      <c r="CL57" s="900">
        <f t="shared" si="51"/>
        <v>0</v>
      </c>
      <c r="CM57" s="906"/>
      <c r="CN57" s="906">
        <f t="shared" si="52"/>
        <v>0</v>
      </c>
      <c r="CO57" s="900"/>
      <c r="CP57" s="909"/>
      <c r="CQ57" s="910"/>
      <c r="CR57" s="900">
        <f t="shared" si="53"/>
        <v>0</v>
      </c>
      <c r="CS57" s="934"/>
      <c r="CT57" s="906">
        <f t="shared" si="54"/>
        <v>0</v>
      </c>
    </row>
    <row r="58" spans="2:98">
      <c r="B58" s="911" t="s">
        <v>918</v>
      </c>
      <c r="C58" s="900">
        <f t="shared" ref="C58:E61" si="60">I58+O58+U58+AA58+AG58+AM58+AS58+AY58+BE58+BK58+BQ58+BW58+CC58+CI58+CO58</f>
        <v>421687310</v>
      </c>
      <c r="D58" s="900">
        <f t="shared" si="60"/>
        <v>25086864</v>
      </c>
      <c r="E58" s="900">
        <f t="shared" si="60"/>
        <v>106868921</v>
      </c>
      <c r="F58" s="900">
        <f t="shared" si="56"/>
        <v>553643095</v>
      </c>
      <c r="G58" s="900">
        <f t="shared" ref="G58:G61" si="61">M58+S58+Y58+AE58+AK58+AQ58+AW58+BC58+BI58+BO58+BU58+CA58+CG58+CM58+CS58</f>
        <v>0</v>
      </c>
      <c r="H58" s="906">
        <f>+F58-G58</f>
        <v>553643095</v>
      </c>
      <c r="I58" s="900"/>
      <c r="J58" s="909"/>
      <c r="K58" s="908"/>
      <c r="L58" s="900">
        <f t="shared" si="25"/>
        <v>0</v>
      </c>
      <c r="M58" s="934"/>
      <c r="N58" s="906">
        <f t="shared" si="26"/>
        <v>0</v>
      </c>
      <c r="O58" s="900"/>
      <c r="P58" s="907"/>
      <c r="Q58" s="908"/>
      <c r="R58" s="900">
        <f t="shared" si="27"/>
        <v>0</v>
      </c>
      <c r="S58" s="906"/>
      <c r="T58" s="906">
        <f t="shared" si="28"/>
        <v>0</v>
      </c>
      <c r="U58" s="900"/>
      <c r="V58" s="909"/>
      <c r="W58" s="910"/>
      <c r="X58" s="900">
        <f t="shared" si="29"/>
        <v>0</v>
      </c>
      <c r="Y58" s="906"/>
      <c r="Z58" s="906">
        <f t="shared" si="30"/>
        <v>0</v>
      </c>
      <c r="AA58" s="900"/>
      <c r="AB58" s="907"/>
      <c r="AC58" s="908"/>
      <c r="AD58" s="900">
        <f t="shared" si="31"/>
        <v>0</v>
      </c>
      <c r="AE58" s="934"/>
      <c r="AF58" s="906">
        <f t="shared" si="32"/>
        <v>0</v>
      </c>
      <c r="AG58" s="900"/>
      <c r="AH58" s="909"/>
      <c r="AI58" s="908"/>
      <c r="AJ58" s="900">
        <f t="shared" si="33"/>
        <v>0</v>
      </c>
      <c r="AK58" s="934"/>
      <c r="AL58" s="906">
        <f t="shared" si="34"/>
        <v>0</v>
      </c>
      <c r="AM58" s="900"/>
      <c r="AN58" s="909"/>
      <c r="AO58" s="908"/>
      <c r="AP58" s="900">
        <f t="shared" si="35"/>
        <v>0</v>
      </c>
      <c r="AQ58" s="934"/>
      <c r="AR58" s="906">
        <f t="shared" si="36"/>
        <v>0</v>
      </c>
      <c r="AS58" s="900">
        <v>84929212</v>
      </c>
      <c r="AT58" s="909">
        <f>25853947-AU58</f>
        <v>5539158</v>
      </c>
      <c r="AU58" s="908">
        <v>20314789</v>
      </c>
      <c r="AV58" s="900">
        <f t="shared" si="37"/>
        <v>110783159</v>
      </c>
      <c r="AW58" s="934"/>
      <c r="AX58" s="906">
        <f t="shared" si="38"/>
        <v>110783159</v>
      </c>
      <c r="AY58" s="900">
        <v>86726750</v>
      </c>
      <c r="AZ58" s="909">
        <f>23988249-BA58</f>
        <v>5535750</v>
      </c>
      <c r="BA58" s="910">
        <v>18452499</v>
      </c>
      <c r="BB58" s="900">
        <f t="shared" si="39"/>
        <v>110714999</v>
      </c>
      <c r="BC58" s="906"/>
      <c r="BD58" s="935">
        <f t="shared" si="40"/>
        <v>110714999</v>
      </c>
      <c r="BE58" s="900">
        <v>87649350</v>
      </c>
      <c r="BF58" s="909">
        <v>5535750</v>
      </c>
      <c r="BG58" s="908">
        <v>17529839</v>
      </c>
      <c r="BH58" s="900">
        <f t="shared" si="41"/>
        <v>110714939</v>
      </c>
      <c r="BI58" s="906"/>
      <c r="BJ58" s="906">
        <f t="shared" si="42"/>
        <v>110714939</v>
      </c>
      <c r="BK58" s="900"/>
      <c r="BL58" s="909"/>
      <c r="BM58" s="910"/>
      <c r="BN58" s="900">
        <f t="shared" si="43"/>
        <v>0</v>
      </c>
      <c r="BO58" s="906"/>
      <c r="BP58" s="906">
        <f t="shared" si="44"/>
        <v>0</v>
      </c>
      <c r="BQ58" s="900"/>
      <c r="BR58" s="909"/>
      <c r="BS58" s="910"/>
      <c r="BT58" s="900">
        <f t="shared" si="45"/>
        <v>0</v>
      </c>
      <c r="BU58" s="934"/>
      <c r="BV58" s="906">
        <f t="shared" si="46"/>
        <v>0</v>
      </c>
      <c r="BW58" s="900"/>
      <c r="BX58" s="909"/>
      <c r="BY58" s="910"/>
      <c r="BZ58" s="900">
        <f t="shared" si="47"/>
        <v>0</v>
      </c>
      <c r="CA58" s="934"/>
      <c r="CB58" s="906">
        <f t="shared" si="48"/>
        <v>0</v>
      </c>
      <c r="CC58" s="900"/>
      <c r="CD58" s="909"/>
      <c r="CE58" s="910"/>
      <c r="CF58" s="900">
        <f t="shared" si="49"/>
        <v>0</v>
      </c>
      <c r="CG58" s="934"/>
      <c r="CH58" s="906">
        <f t="shared" si="50"/>
        <v>0</v>
      </c>
      <c r="CI58" s="900">
        <v>162381998</v>
      </c>
      <c r="CJ58" s="909">
        <f>59048000-CK58</f>
        <v>8476206</v>
      </c>
      <c r="CK58" s="910">
        <v>50571794</v>
      </c>
      <c r="CL58" s="900">
        <f t="shared" si="51"/>
        <v>221429998</v>
      </c>
      <c r="CM58" s="906"/>
      <c r="CN58" s="906">
        <f t="shared" si="52"/>
        <v>221429998</v>
      </c>
      <c r="CO58" s="900"/>
      <c r="CP58" s="909"/>
      <c r="CQ58" s="910"/>
      <c r="CR58" s="900">
        <f t="shared" si="53"/>
        <v>0</v>
      </c>
      <c r="CS58" s="934"/>
      <c r="CT58" s="906">
        <f t="shared" si="54"/>
        <v>0</v>
      </c>
    </row>
    <row r="59" spans="2:98">
      <c r="B59" s="911" t="s">
        <v>411</v>
      </c>
      <c r="C59" s="900">
        <f t="shared" si="60"/>
        <v>26170571</v>
      </c>
      <c r="D59" s="900">
        <f t="shared" si="60"/>
        <v>0</v>
      </c>
      <c r="E59" s="900">
        <f t="shared" si="60"/>
        <v>0</v>
      </c>
      <c r="F59" s="900">
        <f t="shared" si="56"/>
        <v>26170571</v>
      </c>
      <c r="G59" s="900">
        <f t="shared" si="61"/>
        <v>0</v>
      </c>
      <c r="H59" s="906">
        <f>+F59-G59</f>
        <v>26170571</v>
      </c>
      <c r="I59" s="900"/>
      <c r="J59" s="909"/>
      <c r="K59" s="908"/>
      <c r="L59" s="900"/>
      <c r="M59" s="934"/>
      <c r="N59" s="906"/>
      <c r="O59" s="900">
        <v>26170571</v>
      </c>
      <c r="P59" s="907"/>
      <c r="Q59" s="908"/>
      <c r="R59" s="900">
        <f t="shared" si="27"/>
        <v>26170571</v>
      </c>
      <c r="S59" s="906"/>
      <c r="T59" s="906">
        <f t="shared" si="28"/>
        <v>26170571</v>
      </c>
      <c r="U59" s="900"/>
      <c r="V59" s="909"/>
      <c r="W59" s="910"/>
      <c r="X59" s="900"/>
      <c r="Y59" s="906"/>
      <c r="Z59" s="906"/>
      <c r="AA59" s="900"/>
      <c r="AB59" s="907"/>
      <c r="AC59" s="908"/>
      <c r="AD59" s="900"/>
      <c r="AE59" s="934"/>
      <c r="AF59" s="906"/>
      <c r="AG59" s="900"/>
      <c r="AH59" s="909"/>
      <c r="AI59" s="908"/>
      <c r="AJ59" s="900">
        <f t="shared" si="33"/>
        <v>0</v>
      </c>
      <c r="AK59" s="934"/>
      <c r="AL59" s="906">
        <f t="shared" si="34"/>
        <v>0</v>
      </c>
      <c r="AM59" s="900"/>
      <c r="AN59" s="909"/>
      <c r="AO59" s="908"/>
      <c r="AP59" s="900"/>
      <c r="AQ59" s="934"/>
      <c r="AR59" s="906"/>
      <c r="AS59" s="900"/>
      <c r="AT59" s="909"/>
      <c r="AU59" s="908"/>
      <c r="AV59" s="900"/>
      <c r="AW59" s="934"/>
      <c r="AX59" s="906"/>
      <c r="AY59" s="900"/>
      <c r="AZ59" s="909"/>
      <c r="BA59" s="910"/>
      <c r="BB59" s="900"/>
      <c r="BC59" s="906"/>
      <c r="BD59" s="935"/>
      <c r="BE59" s="900"/>
      <c r="BF59" s="909"/>
      <c r="BG59" s="908"/>
      <c r="BH59" s="900"/>
      <c r="BI59" s="906"/>
      <c r="BJ59" s="906"/>
      <c r="BK59" s="900"/>
      <c r="BL59" s="909"/>
      <c r="BM59" s="910"/>
      <c r="BN59" s="900">
        <f t="shared" si="43"/>
        <v>0</v>
      </c>
      <c r="BO59" s="906"/>
      <c r="BP59" s="906"/>
      <c r="BQ59" s="900"/>
      <c r="BR59" s="909"/>
      <c r="BS59" s="910"/>
      <c r="BT59" s="900"/>
      <c r="BU59" s="934"/>
      <c r="BV59" s="906"/>
      <c r="BW59" s="900"/>
      <c r="BX59" s="909"/>
      <c r="BY59" s="910"/>
      <c r="BZ59" s="900"/>
      <c r="CA59" s="934"/>
      <c r="CB59" s="906"/>
      <c r="CC59" s="900"/>
      <c r="CD59" s="909"/>
      <c r="CE59" s="910"/>
      <c r="CF59" s="900"/>
      <c r="CG59" s="934"/>
      <c r="CH59" s="906"/>
      <c r="CI59" s="900"/>
      <c r="CJ59" s="909"/>
      <c r="CK59" s="910"/>
      <c r="CL59" s="900"/>
      <c r="CM59" s="906"/>
      <c r="CN59" s="906"/>
      <c r="CO59" s="900"/>
      <c r="CP59" s="909"/>
      <c r="CQ59" s="910"/>
      <c r="CR59" s="900"/>
      <c r="CS59" s="934"/>
      <c r="CT59" s="906"/>
    </row>
    <row r="60" spans="2:98">
      <c r="B60" s="911" t="s">
        <v>919</v>
      </c>
      <c r="C60" s="900">
        <f t="shared" si="60"/>
        <v>19405114</v>
      </c>
      <c r="D60" s="900">
        <f t="shared" si="60"/>
        <v>2135988</v>
      </c>
      <c r="E60" s="900">
        <f t="shared" si="60"/>
        <v>0</v>
      </c>
      <c r="F60" s="900">
        <f t="shared" si="56"/>
        <v>21541102</v>
      </c>
      <c r="G60" s="900">
        <f t="shared" si="61"/>
        <v>0</v>
      </c>
      <c r="H60" s="906">
        <f>+F60-G60</f>
        <v>21541102</v>
      </c>
      <c r="I60" s="900"/>
      <c r="J60" s="909"/>
      <c r="K60" s="908"/>
      <c r="L60" s="900">
        <f t="shared" si="25"/>
        <v>0</v>
      </c>
      <c r="M60" s="934"/>
      <c r="N60" s="906">
        <f t="shared" si="26"/>
        <v>0</v>
      </c>
      <c r="O60" s="900"/>
      <c r="P60" s="907"/>
      <c r="Q60" s="908"/>
      <c r="R60" s="900">
        <f t="shared" si="27"/>
        <v>0</v>
      </c>
      <c r="S60" s="906"/>
      <c r="T60" s="906">
        <f t="shared" si="28"/>
        <v>0</v>
      </c>
      <c r="U60" s="900"/>
      <c r="V60" s="909"/>
      <c r="W60" s="910"/>
      <c r="X60" s="900">
        <f t="shared" si="29"/>
        <v>0</v>
      </c>
      <c r="Y60" s="906"/>
      <c r="Z60" s="906">
        <f t="shared" si="30"/>
        <v>0</v>
      </c>
      <c r="AA60" s="900"/>
      <c r="AB60" s="907"/>
      <c r="AC60" s="908"/>
      <c r="AD60" s="900">
        <f t="shared" si="31"/>
        <v>0</v>
      </c>
      <c r="AE60" s="934"/>
      <c r="AF60" s="906">
        <f t="shared" si="32"/>
        <v>0</v>
      </c>
      <c r="AG60" s="900"/>
      <c r="AH60" s="909"/>
      <c r="AI60" s="908"/>
      <c r="AJ60" s="900">
        <f t="shared" si="33"/>
        <v>0</v>
      </c>
      <c r="AK60" s="934"/>
      <c r="AL60" s="906">
        <f t="shared" si="34"/>
        <v>0</v>
      </c>
      <c r="AM60" s="900"/>
      <c r="AN60" s="909"/>
      <c r="AO60" s="908"/>
      <c r="AP60" s="900">
        <f t="shared" si="35"/>
        <v>0</v>
      </c>
      <c r="AQ60" s="934"/>
      <c r="AR60" s="906">
        <f t="shared" si="36"/>
        <v>0</v>
      </c>
      <c r="AS60" s="900"/>
      <c r="AT60" s="909"/>
      <c r="AU60" s="908"/>
      <c r="AV60" s="900">
        <f t="shared" si="37"/>
        <v>0</v>
      </c>
      <c r="AW60" s="934"/>
      <c r="AX60" s="906">
        <f t="shared" si="38"/>
        <v>0</v>
      </c>
      <c r="AY60" s="900"/>
      <c r="AZ60" s="909"/>
      <c r="BA60" s="910"/>
      <c r="BB60" s="900">
        <f t="shared" si="39"/>
        <v>0</v>
      </c>
      <c r="BC60" s="906"/>
      <c r="BD60" s="935">
        <f t="shared" si="40"/>
        <v>0</v>
      </c>
      <c r="BE60" s="900"/>
      <c r="BF60" s="909"/>
      <c r="BG60" s="908"/>
      <c r="BH60" s="900">
        <f t="shared" si="41"/>
        <v>0</v>
      </c>
      <c r="BI60" s="906"/>
      <c r="BJ60" s="906">
        <f t="shared" si="42"/>
        <v>0</v>
      </c>
      <c r="BK60" s="900"/>
      <c r="BL60" s="909"/>
      <c r="BM60" s="910"/>
      <c r="BN60" s="900">
        <f t="shared" si="43"/>
        <v>0</v>
      </c>
      <c r="BO60" s="906"/>
      <c r="BP60" s="906">
        <f t="shared" si="44"/>
        <v>0</v>
      </c>
      <c r="BQ60" s="900">
        <v>19405114</v>
      </c>
      <c r="BR60" s="909">
        <v>2135988</v>
      </c>
      <c r="BS60" s="910"/>
      <c r="BT60" s="900">
        <f t="shared" si="45"/>
        <v>21541102</v>
      </c>
      <c r="BU60" s="934"/>
      <c r="BV60" s="906">
        <f t="shared" si="46"/>
        <v>21541102</v>
      </c>
      <c r="BW60" s="900"/>
      <c r="BX60" s="909"/>
      <c r="BY60" s="910"/>
      <c r="BZ60" s="900">
        <f t="shared" si="47"/>
        <v>0</v>
      </c>
      <c r="CA60" s="934"/>
      <c r="CB60" s="906">
        <f t="shared" si="48"/>
        <v>0</v>
      </c>
      <c r="CC60" s="900"/>
      <c r="CD60" s="909"/>
      <c r="CE60" s="910"/>
      <c r="CF60" s="900">
        <f t="shared" si="49"/>
        <v>0</v>
      </c>
      <c r="CG60" s="934"/>
      <c r="CH60" s="906">
        <f t="shared" si="50"/>
        <v>0</v>
      </c>
      <c r="CI60" s="900"/>
      <c r="CJ60" s="909"/>
      <c r="CK60" s="910"/>
      <c r="CL60" s="900">
        <f t="shared" si="51"/>
        <v>0</v>
      </c>
      <c r="CM60" s="906"/>
      <c r="CN60" s="906">
        <f t="shared" si="52"/>
        <v>0</v>
      </c>
      <c r="CO60" s="900"/>
      <c r="CP60" s="909"/>
      <c r="CQ60" s="910"/>
      <c r="CR60" s="900">
        <f t="shared" si="53"/>
        <v>0</v>
      </c>
      <c r="CS60" s="934"/>
      <c r="CT60" s="906">
        <f t="shared" si="54"/>
        <v>0</v>
      </c>
    </row>
    <row r="61" spans="2:98">
      <c r="B61" s="915" t="s">
        <v>403</v>
      </c>
      <c r="C61" s="900">
        <f t="shared" si="60"/>
        <v>169479196</v>
      </c>
      <c r="D61" s="900">
        <f t="shared" si="60"/>
        <v>5727810</v>
      </c>
      <c r="E61" s="900">
        <f t="shared" si="60"/>
        <v>0</v>
      </c>
      <c r="F61" s="900">
        <f t="shared" si="56"/>
        <v>175207006</v>
      </c>
      <c r="G61" s="900">
        <f t="shared" si="61"/>
        <v>1017456</v>
      </c>
      <c r="H61" s="906">
        <f>+F61-G61</f>
        <v>174189550</v>
      </c>
      <c r="I61" s="900">
        <v>108724810</v>
      </c>
      <c r="J61" s="909">
        <v>3509665</v>
      </c>
      <c r="K61" s="908"/>
      <c r="L61" s="900">
        <f t="shared" si="25"/>
        <v>112234475</v>
      </c>
      <c r="M61" s="934"/>
      <c r="N61" s="906">
        <f t="shared" si="26"/>
        <v>112234475</v>
      </c>
      <c r="O61" s="900">
        <v>5902544</v>
      </c>
      <c r="P61" s="909">
        <v>127605</v>
      </c>
      <c r="Q61" s="908"/>
      <c r="R61" s="900">
        <f t="shared" si="27"/>
        <v>6030149</v>
      </c>
      <c r="S61" s="906"/>
      <c r="T61" s="906">
        <f t="shared" si="28"/>
        <v>6030149</v>
      </c>
      <c r="U61" s="900">
        <v>3158647</v>
      </c>
      <c r="V61" s="909">
        <v>215663</v>
      </c>
      <c r="W61" s="910"/>
      <c r="X61" s="900">
        <f t="shared" si="29"/>
        <v>3374310</v>
      </c>
      <c r="Y61" s="906">
        <v>238827</v>
      </c>
      <c r="Z61" s="906">
        <f t="shared" si="30"/>
        <v>3135483</v>
      </c>
      <c r="AA61" s="900">
        <v>2242812</v>
      </c>
      <c r="AB61" s="909">
        <f>184091+11188</f>
        <v>195279</v>
      </c>
      <c r="AC61" s="908"/>
      <c r="AD61" s="900">
        <f t="shared" si="31"/>
        <v>2438091</v>
      </c>
      <c r="AE61" s="906">
        <v>504708</v>
      </c>
      <c r="AF61" s="906">
        <f t="shared" si="32"/>
        <v>1933383</v>
      </c>
      <c r="AG61" s="900"/>
      <c r="AH61" s="909"/>
      <c r="AI61" s="908"/>
      <c r="AJ61" s="900">
        <f t="shared" si="33"/>
        <v>0</v>
      </c>
      <c r="AK61" s="906"/>
      <c r="AL61" s="906">
        <f t="shared" si="34"/>
        <v>0</v>
      </c>
      <c r="AM61" s="900">
        <v>7298878</v>
      </c>
      <c r="AN61" s="909">
        <v>277850</v>
      </c>
      <c r="AO61" s="908"/>
      <c r="AP61" s="900">
        <f t="shared" si="35"/>
        <v>7576728</v>
      </c>
      <c r="AQ61" s="906"/>
      <c r="AR61" s="906">
        <f>+AP61-AQ61</f>
        <v>7576728</v>
      </c>
      <c r="AS61" s="900">
        <v>2727216</v>
      </c>
      <c r="AT61" s="909">
        <v>55524</v>
      </c>
      <c r="AU61" s="908"/>
      <c r="AV61" s="900">
        <f t="shared" si="37"/>
        <v>2782740</v>
      </c>
      <c r="AW61" s="934"/>
      <c r="AX61" s="906">
        <f t="shared" si="38"/>
        <v>2782740</v>
      </c>
      <c r="AY61" s="900">
        <v>6545362</v>
      </c>
      <c r="AZ61" s="909">
        <v>393842</v>
      </c>
      <c r="BA61" s="910"/>
      <c r="BB61" s="900">
        <f t="shared" si="39"/>
        <v>6939204</v>
      </c>
      <c r="BC61" s="906"/>
      <c r="BD61" s="935">
        <f t="shared" si="40"/>
        <v>6939204</v>
      </c>
      <c r="BE61" s="900">
        <v>4427111</v>
      </c>
      <c r="BF61" s="909">
        <v>135241</v>
      </c>
      <c r="BG61" s="908"/>
      <c r="BH61" s="900">
        <f t="shared" si="41"/>
        <v>4562352</v>
      </c>
      <c r="BI61" s="906"/>
      <c r="BJ61" s="906">
        <f t="shared" si="42"/>
        <v>4562352</v>
      </c>
      <c r="BK61" s="900">
        <v>1818348</v>
      </c>
      <c r="BL61" s="909">
        <f>65478+39383</f>
        <v>104861</v>
      </c>
      <c r="BM61" s="910"/>
      <c r="BN61" s="900">
        <f t="shared" si="43"/>
        <v>1923209</v>
      </c>
      <c r="BO61" s="906">
        <v>273921</v>
      </c>
      <c r="BP61" s="906">
        <f t="shared" si="44"/>
        <v>1649288</v>
      </c>
      <c r="BQ61" s="900">
        <v>2883071</v>
      </c>
      <c r="BR61" s="909">
        <v>324035</v>
      </c>
      <c r="BS61" s="910"/>
      <c r="BT61" s="900">
        <f t="shared" si="45"/>
        <v>3207106</v>
      </c>
      <c r="BU61" s="934"/>
      <c r="BV61" s="906">
        <f t="shared" si="46"/>
        <v>3207106</v>
      </c>
      <c r="BW61" s="900">
        <v>15759050</v>
      </c>
      <c r="BX61" s="909">
        <v>96975</v>
      </c>
      <c r="BY61" s="910"/>
      <c r="BZ61" s="900">
        <f t="shared" si="47"/>
        <v>15856025</v>
      </c>
      <c r="CA61" s="906"/>
      <c r="CB61" s="906">
        <f t="shared" si="48"/>
        <v>15856025</v>
      </c>
      <c r="CC61" s="900"/>
      <c r="CD61" s="909"/>
      <c r="CE61" s="910"/>
      <c r="CF61" s="900">
        <f t="shared" si="49"/>
        <v>0</v>
      </c>
      <c r="CG61" s="934"/>
      <c r="CH61" s="906">
        <f t="shared" si="50"/>
        <v>0</v>
      </c>
      <c r="CI61" s="900">
        <v>7642696</v>
      </c>
      <c r="CJ61" s="909">
        <v>291270</v>
      </c>
      <c r="CK61" s="910"/>
      <c r="CL61" s="900">
        <f t="shared" si="51"/>
        <v>7933966</v>
      </c>
      <c r="CM61" s="906"/>
      <c r="CN61" s="906">
        <f t="shared" si="52"/>
        <v>7933966</v>
      </c>
      <c r="CO61" s="900">
        <v>348651</v>
      </c>
      <c r="CP61" s="909"/>
      <c r="CQ61" s="910"/>
      <c r="CR61" s="900">
        <f t="shared" si="53"/>
        <v>348651</v>
      </c>
      <c r="CS61" s="934"/>
      <c r="CT61" s="906">
        <f t="shared" si="54"/>
        <v>348651</v>
      </c>
    </row>
    <row r="62" spans="2:98" ht="12" thickBot="1">
      <c r="B62" s="932"/>
      <c r="C62" s="900"/>
      <c r="D62" s="900"/>
      <c r="E62" s="900"/>
      <c r="F62" s="900"/>
      <c r="G62" s="900"/>
      <c r="H62" s="934"/>
      <c r="I62" s="900"/>
      <c r="J62" s="907"/>
      <c r="K62" s="908"/>
      <c r="L62" s="907"/>
      <c r="M62" s="934"/>
      <c r="N62" s="934"/>
      <c r="O62" s="900"/>
      <c r="P62" s="907"/>
      <c r="Q62" s="908"/>
      <c r="R62" s="907"/>
      <c r="S62" s="906"/>
      <c r="T62" s="934"/>
      <c r="U62" s="900"/>
      <c r="V62" s="909"/>
      <c r="W62" s="910"/>
      <c r="X62" s="907"/>
      <c r="Y62" s="906"/>
      <c r="Z62" s="934"/>
      <c r="AA62" s="900"/>
      <c r="AB62" s="907"/>
      <c r="AC62" s="908"/>
      <c r="AD62" s="907"/>
      <c r="AE62" s="934"/>
      <c r="AF62" s="934"/>
      <c r="AG62" s="900"/>
      <c r="AH62" s="907"/>
      <c r="AI62" s="908"/>
      <c r="AJ62" s="907"/>
      <c r="AK62" s="934"/>
      <c r="AL62" s="934"/>
      <c r="AM62" s="900"/>
      <c r="AN62" s="909"/>
      <c r="AO62" s="908"/>
      <c r="AP62" s="907"/>
      <c r="AQ62" s="934"/>
      <c r="AR62" s="934"/>
      <c r="AS62" s="900"/>
      <c r="AT62" s="907"/>
      <c r="AU62" s="908"/>
      <c r="AV62" s="907"/>
      <c r="AW62" s="934"/>
      <c r="AX62" s="934"/>
      <c r="AY62" s="900"/>
      <c r="AZ62" s="907"/>
      <c r="BA62" s="908"/>
      <c r="BB62" s="907"/>
      <c r="BC62" s="934"/>
      <c r="BD62" s="936"/>
      <c r="BE62" s="900"/>
      <c r="BF62" s="909"/>
      <c r="BG62" s="908"/>
      <c r="BH62" s="907"/>
      <c r="BI62" s="906"/>
      <c r="BJ62" s="934"/>
      <c r="BK62" s="900"/>
      <c r="BL62" s="909"/>
      <c r="BM62" s="910"/>
      <c r="BN62" s="900"/>
      <c r="BO62" s="906"/>
      <c r="BP62" s="934"/>
      <c r="BQ62" s="900"/>
      <c r="BR62" s="907"/>
      <c r="BS62" s="908"/>
      <c r="BT62" s="907"/>
      <c r="BU62" s="934"/>
      <c r="BV62" s="934"/>
      <c r="BW62" s="900"/>
      <c r="BX62" s="907"/>
      <c r="BY62" s="908"/>
      <c r="BZ62" s="907"/>
      <c r="CA62" s="934"/>
      <c r="CB62" s="934"/>
      <c r="CC62" s="900"/>
      <c r="CD62" s="907"/>
      <c r="CE62" s="908"/>
      <c r="CF62" s="907"/>
      <c r="CG62" s="934"/>
      <c r="CH62" s="934"/>
      <c r="CI62" s="900"/>
      <c r="CJ62" s="909"/>
      <c r="CK62" s="910"/>
      <c r="CL62" s="907"/>
      <c r="CM62" s="906"/>
      <c r="CN62" s="934"/>
      <c r="CO62" s="900"/>
      <c r="CP62" s="907"/>
      <c r="CQ62" s="908"/>
      <c r="CR62" s="907"/>
      <c r="CS62" s="934"/>
      <c r="CT62" s="934"/>
    </row>
    <row r="63" spans="2:98" ht="12" thickBot="1">
      <c r="B63" s="917" t="s">
        <v>806</v>
      </c>
      <c r="C63" s="894">
        <f t="shared" ref="C63:BN63" si="62">SUM(C38:C62)</f>
        <v>1274846132</v>
      </c>
      <c r="D63" s="894">
        <f t="shared" si="62"/>
        <v>76197532</v>
      </c>
      <c r="E63" s="894">
        <f t="shared" si="62"/>
        <v>106868921</v>
      </c>
      <c r="F63" s="894">
        <f t="shared" si="62"/>
        <v>1457912585</v>
      </c>
      <c r="G63" s="894">
        <f t="shared" si="62"/>
        <v>4844536</v>
      </c>
      <c r="H63" s="894">
        <f t="shared" si="62"/>
        <v>1453068049</v>
      </c>
      <c r="I63" s="894">
        <f t="shared" si="62"/>
        <v>226489120</v>
      </c>
      <c r="J63" s="894">
        <f t="shared" si="62"/>
        <v>7277170</v>
      </c>
      <c r="K63" s="894">
        <f t="shared" si="62"/>
        <v>0</v>
      </c>
      <c r="L63" s="894">
        <f t="shared" si="62"/>
        <v>233766290</v>
      </c>
      <c r="M63" s="894">
        <f t="shared" si="62"/>
        <v>273272</v>
      </c>
      <c r="N63" s="894">
        <f t="shared" si="62"/>
        <v>233493018</v>
      </c>
      <c r="O63" s="894">
        <f t="shared" si="62"/>
        <v>306763337</v>
      </c>
      <c r="P63" s="894">
        <f t="shared" si="62"/>
        <v>29599134</v>
      </c>
      <c r="Q63" s="894">
        <f t="shared" si="62"/>
        <v>0</v>
      </c>
      <c r="R63" s="894">
        <f t="shared" si="62"/>
        <v>336362471</v>
      </c>
      <c r="S63" s="894">
        <f t="shared" si="62"/>
        <v>49482</v>
      </c>
      <c r="T63" s="894">
        <f t="shared" si="62"/>
        <v>336312989</v>
      </c>
      <c r="U63" s="894">
        <f>SUM(U38:U62)</f>
        <v>13889470</v>
      </c>
      <c r="V63" s="894">
        <f t="shared" si="62"/>
        <v>365316</v>
      </c>
      <c r="W63" s="894">
        <f t="shared" si="62"/>
        <v>0</v>
      </c>
      <c r="X63" s="894">
        <f>SUM(X38:X62)</f>
        <v>14254786</v>
      </c>
      <c r="Y63" s="894">
        <f t="shared" si="62"/>
        <v>2217780</v>
      </c>
      <c r="Z63" s="894">
        <f>SUM(Z38:Z62)</f>
        <v>12037006</v>
      </c>
      <c r="AA63" s="894">
        <f t="shared" si="62"/>
        <v>7537771</v>
      </c>
      <c r="AB63" s="894">
        <f t="shared" si="62"/>
        <v>617750</v>
      </c>
      <c r="AC63" s="894">
        <f t="shared" si="62"/>
        <v>0</v>
      </c>
      <c r="AD63" s="894">
        <f t="shared" si="62"/>
        <v>8155521</v>
      </c>
      <c r="AE63" s="894">
        <f t="shared" si="62"/>
        <v>504708</v>
      </c>
      <c r="AF63" s="894">
        <f t="shared" si="62"/>
        <v>7650813</v>
      </c>
      <c r="AG63" s="894">
        <f t="shared" si="62"/>
        <v>0</v>
      </c>
      <c r="AH63" s="894">
        <f t="shared" si="62"/>
        <v>0</v>
      </c>
      <c r="AI63" s="894">
        <f t="shared" si="62"/>
        <v>0</v>
      </c>
      <c r="AJ63" s="894">
        <f t="shared" si="62"/>
        <v>0</v>
      </c>
      <c r="AK63" s="894">
        <f t="shared" si="62"/>
        <v>0</v>
      </c>
      <c r="AL63" s="894">
        <f t="shared" si="62"/>
        <v>0</v>
      </c>
      <c r="AM63" s="894">
        <f t="shared" si="62"/>
        <v>55718941</v>
      </c>
      <c r="AN63" s="894">
        <f t="shared" si="62"/>
        <v>1854462</v>
      </c>
      <c r="AO63" s="894">
        <f t="shared" si="62"/>
        <v>0</v>
      </c>
      <c r="AP63" s="894">
        <f t="shared" si="62"/>
        <v>57573403</v>
      </c>
      <c r="AQ63" s="894">
        <f t="shared" si="62"/>
        <v>126767</v>
      </c>
      <c r="AR63" s="894">
        <f t="shared" si="62"/>
        <v>57446636</v>
      </c>
      <c r="AS63" s="894">
        <f t="shared" si="62"/>
        <v>100848298</v>
      </c>
      <c r="AT63" s="894">
        <f t="shared" si="62"/>
        <v>6314063</v>
      </c>
      <c r="AU63" s="894">
        <f t="shared" si="62"/>
        <v>20314789</v>
      </c>
      <c r="AV63" s="894">
        <f t="shared" si="62"/>
        <v>127477150</v>
      </c>
      <c r="AW63" s="894">
        <f t="shared" si="62"/>
        <v>550000</v>
      </c>
      <c r="AX63" s="894">
        <f t="shared" si="62"/>
        <v>126927150</v>
      </c>
      <c r="AY63" s="894">
        <f t="shared" si="62"/>
        <v>121651441</v>
      </c>
      <c r="AZ63" s="894">
        <f t="shared" si="62"/>
        <v>7603238</v>
      </c>
      <c r="BA63" s="894">
        <f t="shared" si="62"/>
        <v>18452499</v>
      </c>
      <c r="BB63" s="894">
        <f t="shared" si="62"/>
        <v>147707178</v>
      </c>
      <c r="BC63" s="894">
        <f t="shared" si="62"/>
        <v>18899</v>
      </c>
      <c r="BD63" s="894">
        <f t="shared" si="62"/>
        <v>147688279</v>
      </c>
      <c r="BE63" s="894">
        <f t="shared" si="62"/>
        <v>107772400</v>
      </c>
      <c r="BF63" s="919">
        <f t="shared" si="62"/>
        <v>6720174</v>
      </c>
      <c r="BG63" s="894">
        <f t="shared" si="62"/>
        <v>17529839</v>
      </c>
      <c r="BH63" s="894">
        <f t="shared" si="62"/>
        <v>132022413</v>
      </c>
      <c r="BI63" s="894">
        <f t="shared" si="62"/>
        <v>43852</v>
      </c>
      <c r="BJ63" s="894">
        <f t="shared" si="62"/>
        <v>131978561</v>
      </c>
      <c r="BK63" s="894">
        <f t="shared" si="62"/>
        <v>7267713</v>
      </c>
      <c r="BL63" s="894">
        <f t="shared" si="62"/>
        <v>850656</v>
      </c>
      <c r="BM63" s="894">
        <f t="shared" si="62"/>
        <v>0</v>
      </c>
      <c r="BN63" s="894">
        <f t="shared" si="62"/>
        <v>8118369</v>
      </c>
      <c r="BO63" s="894">
        <f t="shared" ref="BO63:CT63" si="63">SUM(BO38:BO62)</f>
        <v>794408</v>
      </c>
      <c r="BP63" s="894">
        <f t="shared" si="63"/>
        <v>7323961</v>
      </c>
      <c r="BQ63" s="894">
        <f t="shared" si="63"/>
        <v>30211838</v>
      </c>
      <c r="BR63" s="894">
        <f t="shared" si="63"/>
        <v>2814027</v>
      </c>
      <c r="BS63" s="894">
        <f t="shared" si="63"/>
        <v>0</v>
      </c>
      <c r="BT63" s="894">
        <f t="shared" si="63"/>
        <v>33025865</v>
      </c>
      <c r="BU63" s="894">
        <f t="shared" si="63"/>
        <v>75498</v>
      </c>
      <c r="BV63" s="894">
        <f t="shared" si="63"/>
        <v>32950367</v>
      </c>
      <c r="BW63" s="894">
        <f t="shared" si="63"/>
        <v>35238506</v>
      </c>
      <c r="BX63" s="894">
        <f t="shared" si="63"/>
        <v>3214989</v>
      </c>
      <c r="BY63" s="894">
        <f t="shared" si="63"/>
        <v>0</v>
      </c>
      <c r="BZ63" s="894">
        <f t="shared" si="63"/>
        <v>38453495</v>
      </c>
      <c r="CA63" s="894">
        <f t="shared" si="63"/>
        <v>17001</v>
      </c>
      <c r="CB63" s="894">
        <f t="shared" si="63"/>
        <v>38436494</v>
      </c>
      <c r="CC63" s="894">
        <f t="shared" si="63"/>
        <v>0</v>
      </c>
      <c r="CD63" s="894">
        <f t="shared" si="63"/>
        <v>0</v>
      </c>
      <c r="CE63" s="894">
        <f t="shared" si="63"/>
        <v>0</v>
      </c>
      <c r="CF63" s="894">
        <f t="shared" si="63"/>
        <v>0</v>
      </c>
      <c r="CG63" s="894">
        <f t="shared" si="63"/>
        <v>0</v>
      </c>
      <c r="CH63" s="894">
        <f t="shared" si="63"/>
        <v>0</v>
      </c>
      <c r="CI63" s="894">
        <f t="shared" si="63"/>
        <v>177629228</v>
      </c>
      <c r="CJ63" s="894">
        <f t="shared" si="63"/>
        <v>8949265</v>
      </c>
      <c r="CK63" s="894">
        <f t="shared" si="63"/>
        <v>50571794</v>
      </c>
      <c r="CL63" s="894">
        <f t="shared" si="63"/>
        <v>237150287</v>
      </c>
      <c r="CM63" s="894">
        <f t="shared" si="63"/>
        <v>172869</v>
      </c>
      <c r="CN63" s="894">
        <f t="shared" si="63"/>
        <v>236977418</v>
      </c>
      <c r="CO63" s="894">
        <f t="shared" si="63"/>
        <v>83828069</v>
      </c>
      <c r="CP63" s="894">
        <f t="shared" si="63"/>
        <v>17288</v>
      </c>
      <c r="CQ63" s="894">
        <f t="shared" si="63"/>
        <v>0</v>
      </c>
      <c r="CR63" s="894">
        <f t="shared" si="63"/>
        <v>83845357</v>
      </c>
      <c r="CS63" s="894">
        <f t="shared" si="63"/>
        <v>0</v>
      </c>
      <c r="CT63" s="894">
        <f t="shared" si="63"/>
        <v>83845357</v>
      </c>
    </row>
    <row r="64" spans="2:98" ht="12" thickBot="1">
      <c r="B64" s="917" t="s">
        <v>909</v>
      </c>
      <c r="C64" s="921"/>
      <c r="D64" s="921"/>
      <c r="E64" s="922"/>
      <c r="F64" s="921"/>
      <c r="G64" s="937"/>
      <c r="H64" s="937"/>
      <c r="I64" s="921"/>
      <c r="J64" s="921"/>
      <c r="K64" s="922"/>
      <c r="L64" s="921"/>
      <c r="M64" s="937"/>
      <c r="N64" s="937"/>
      <c r="O64" s="921"/>
      <c r="P64" s="921"/>
      <c r="Q64" s="922"/>
      <c r="R64" s="921"/>
      <c r="S64" s="937"/>
      <c r="T64" s="937"/>
      <c r="U64" s="921"/>
      <c r="V64" s="921"/>
      <c r="W64" s="922"/>
      <c r="X64" s="921"/>
      <c r="Y64" s="937"/>
      <c r="Z64" s="937"/>
      <c r="AA64" s="921"/>
      <c r="AB64" s="921"/>
      <c r="AC64" s="922"/>
      <c r="AD64" s="921"/>
      <c r="AE64" s="937"/>
      <c r="AF64" s="937"/>
      <c r="AG64" s="921"/>
      <c r="AH64" s="921"/>
      <c r="AI64" s="922"/>
      <c r="AJ64" s="921"/>
      <c r="AK64" s="937"/>
      <c r="AL64" s="937"/>
      <c r="AM64" s="921"/>
      <c r="AN64" s="921"/>
      <c r="AO64" s="922"/>
      <c r="AP64" s="921"/>
      <c r="AQ64" s="937"/>
      <c r="AR64" s="937"/>
      <c r="AS64" s="921"/>
      <c r="AT64" s="921"/>
      <c r="AU64" s="922"/>
      <c r="AV64" s="921"/>
      <c r="AW64" s="937"/>
      <c r="AX64" s="937"/>
      <c r="AY64" s="921"/>
      <c r="AZ64" s="921"/>
      <c r="BA64" s="922"/>
      <c r="BB64" s="921"/>
      <c r="BC64" s="937"/>
      <c r="BD64" s="937"/>
      <c r="BE64" s="921"/>
      <c r="BF64" s="923"/>
      <c r="BG64" s="922"/>
      <c r="BH64" s="921"/>
      <c r="BI64" s="937"/>
      <c r="BJ64" s="937"/>
      <c r="BK64" s="921"/>
      <c r="BL64" s="921"/>
      <c r="BM64" s="922"/>
      <c r="BN64" s="921"/>
      <c r="BO64" s="937"/>
      <c r="BP64" s="937"/>
      <c r="BQ64" s="921"/>
      <c r="BR64" s="921"/>
      <c r="BS64" s="922"/>
      <c r="BT64" s="921"/>
      <c r="BU64" s="937"/>
      <c r="BV64" s="937"/>
      <c r="BW64" s="921"/>
      <c r="BX64" s="921"/>
      <c r="BY64" s="922"/>
      <c r="BZ64" s="921"/>
      <c r="CA64" s="937"/>
      <c r="CB64" s="937"/>
      <c r="CC64" s="921"/>
      <c r="CD64" s="921"/>
      <c r="CE64" s="922"/>
      <c r="CF64" s="921"/>
      <c r="CG64" s="937"/>
      <c r="CH64" s="937"/>
      <c r="CI64" s="921"/>
      <c r="CJ64" s="921"/>
      <c r="CK64" s="922"/>
      <c r="CL64" s="921"/>
      <c r="CM64" s="937"/>
      <c r="CN64" s="937"/>
      <c r="CO64" s="921"/>
      <c r="CP64" s="921"/>
      <c r="CQ64" s="922"/>
      <c r="CR64" s="921"/>
      <c r="CS64" s="937"/>
      <c r="CT64" s="937"/>
    </row>
    <row r="65" spans="2:98">
      <c r="N65" s="885">
        <f>+N80</f>
        <v>1073167</v>
      </c>
    </row>
    <row r="66" spans="2:98">
      <c r="B66" s="924" t="s">
        <v>1310</v>
      </c>
      <c r="D66" s="938">
        <f t="shared" ref="D66:E66" si="64">J66+P66+V66+AB66+AH66+AN66+AT66+AZ66+BF66+BL66+BR66+BX66+CD66+CJ66+CP66</f>
        <v>71227120</v>
      </c>
      <c r="E66" s="938">
        <f t="shared" si="64"/>
        <v>106868921</v>
      </c>
      <c r="F66" s="939">
        <v>410019</v>
      </c>
      <c r="J66" s="885">
        <f>J63-1257504</f>
        <v>6019666</v>
      </c>
      <c r="P66" s="885">
        <f>P63-98895</f>
        <v>29500239</v>
      </c>
      <c r="T66" s="885">
        <f>S31-T63</f>
        <v>410395897</v>
      </c>
      <c r="V66" s="885">
        <f>V63</f>
        <v>365316</v>
      </c>
      <c r="Z66" s="885">
        <f>Y31-Z63</f>
        <v>1170257</v>
      </c>
      <c r="AB66" s="885">
        <f>AB63-68897</f>
        <v>548853</v>
      </c>
      <c r="AF66" s="885">
        <f>AE31-AF63</f>
        <v>2747095</v>
      </c>
      <c r="AL66" s="885">
        <f>AK31-AL63</f>
        <v>0</v>
      </c>
      <c r="AN66" s="885">
        <f>AN63-439204</f>
        <v>1415258</v>
      </c>
      <c r="AR66" s="885">
        <f>AQ31-AR63</f>
        <v>46875310</v>
      </c>
      <c r="AT66" s="885">
        <f>AT63-412778</f>
        <v>5901285</v>
      </c>
      <c r="AU66" s="885">
        <f>AU63</f>
        <v>20314789</v>
      </c>
      <c r="AX66" s="885">
        <f>AW31-AX63</f>
        <v>2623289</v>
      </c>
      <c r="AZ66" s="885">
        <f>AZ63-227467</f>
        <v>7375771</v>
      </c>
      <c r="BA66" s="885">
        <f>BA63</f>
        <v>18452499</v>
      </c>
      <c r="BD66" s="885">
        <f>BC31-BD63</f>
        <v>34479238</v>
      </c>
      <c r="BF66" s="885">
        <f>BF63-18492</f>
        <v>6701682</v>
      </c>
      <c r="BG66" s="885">
        <f>BG63</f>
        <v>17529839</v>
      </c>
      <c r="BJ66" s="885">
        <f>BI31-BJ63</f>
        <v>8344027</v>
      </c>
      <c r="BL66" s="885">
        <f>BL63-91594</f>
        <v>759062</v>
      </c>
      <c r="BP66" s="885">
        <f>BO31-BP63</f>
        <v>7450213</v>
      </c>
      <c r="BR66" s="885">
        <f>BR63-1051784</f>
        <v>1762243</v>
      </c>
      <c r="BV66" s="885">
        <f>BU31-BV63</f>
        <v>15273907</v>
      </c>
      <c r="BX66" s="885">
        <f>BX63-1276410</f>
        <v>1938579</v>
      </c>
      <c r="BY66" s="940"/>
      <c r="CB66" s="885">
        <f>CA31-CB63</f>
        <v>13031145</v>
      </c>
      <c r="CD66" s="940">
        <v>0</v>
      </c>
      <c r="CH66" s="885">
        <f>CG31-CH63</f>
        <v>0</v>
      </c>
      <c r="CJ66" s="885">
        <f>CJ63-27387</f>
        <v>8921878</v>
      </c>
      <c r="CK66" s="885">
        <f>CK63</f>
        <v>50571794</v>
      </c>
      <c r="CN66" s="885">
        <f>CM31-CN63</f>
        <v>1455037</v>
      </c>
      <c r="CP66" s="885">
        <f>CP63</f>
        <v>17288</v>
      </c>
      <c r="CT66" s="885">
        <f>CS31-CT63</f>
        <v>1204688</v>
      </c>
    </row>
    <row r="67" spans="2:98" ht="12" thickBot="1">
      <c r="B67" s="884" t="s">
        <v>700</v>
      </c>
    </row>
    <row r="68" spans="2:98" s="888" customFormat="1" ht="12" customHeight="1" thickBot="1">
      <c r="B68" s="925"/>
      <c r="C68" s="1614" t="s">
        <v>860</v>
      </c>
      <c r="D68" s="1615"/>
      <c r="E68" s="1615"/>
      <c r="F68" s="1615"/>
      <c r="G68" s="1615"/>
      <c r="H68" s="1616"/>
      <c r="I68" s="1617" t="s">
        <v>17</v>
      </c>
      <c r="J68" s="1618"/>
      <c r="K68" s="1618"/>
      <c r="L68" s="1618"/>
      <c r="M68" s="1618"/>
      <c r="N68" s="1619"/>
      <c r="O68" s="1614" t="s">
        <v>18</v>
      </c>
      <c r="P68" s="1615"/>
      <c r="Q68" s="1615"/>
      <c r="R68" s="1615"/>
      <c r="S68" s="1615"/>
      <c r="T68" s="1616"/>
      <c r="U68" s="1617" t="s">
        <v>19</v>
      </c>
      <c r="V68" s="1618"/>
      <c r="W68" s="1618"/>
      <c r="X68" s="1618"/>
      <c r="Y68" s="1618"/>
      <c r="Z68" s="1619"/>
      <c r="AA68" s="1614" t="s">
        <v>20</v>
      </c>
      <c r="AB68" s="1615"/>
      <c r="AC68" s="1615"/>
      <c r="AD68" s="1615"/>
      <c r="AE68" s="1615"/>
      <c r="AF68" s="1616"/>
      <c r="AG68" s="1617" t="s">
        <v>21</v>
      </c>
      <c r="AH68" s="1618"/>
      <c r="AI68" s="1618"/>
      <c r="AJ68" s="1618"/>
      <c r="AK68" s="1618"/>
      <c r="AL68" s="1619"/>
      <c r="AM68" s="1614" t="s">
        <v>22</v>
      </c>
      <c r="AN68" s="1615"/>
      <c r="AO68" s="1615"/>
      <c r="AP68" s="1615"/>
      <c r="AQ68" s="1615"/>
      <c r="AR68" s="1616"/>
      <c r="AS68" s="1617" t="s">
        <v>23</v>
      </c>
      <c r="AT68" s="1618"/>
      <c r="AU68" s="1618"/>
      <c r="AV68" s="1618"/>
      <c r="AW68" s="1618"/>
      <c r="AX68" s="1619"/>
      <c r="AY68" s="1614" t="s">
        <v>24</v>
      </c>
      <c r="AZ68" s="1615"/>
      <c r="BA68" s="1615"/>
      <c r="BB68" s="1615"/>
      <c r="BC68" s="1615"/>
      <c r="BD68" s="1616"/>
      <c r="BE68" s="1617" t="s">
        <v>25</v>
      </c>
      <c r="BF68" s="1618"/>
      <c r="BG68" s="1618"/>
      <c r="BH68" s="1618"/>
      <c r="BI68" s="1618"/>
      <c r="BJ68" s="1619"/>
      <c r="BK68" s="1614" t="s">
        <v>26</v>
      </c>
      <c r="BL68" s="1615"/>
      <c r="BM68" s="1615"/>
      <c r="BN68" s="1615"/>
      <c r="BO68" s="1615"/>
      <c r="BP68" s="1616"/>
      <c r="BQ68" s="1617" t="s">
        <v>27</v>
      </c>
      <c r="BR68" s="1618"/>
      <c r="BS68" s="1618"/>
      <c r="BT68" s="1618"/>
      <c r="BU68" s="1618"/>
      <c r="BV68" s="1619"/>
      <c r="BW68" s="1614" t="s">
        <v>28</v>
      </c>
      <c r="BX68" s="1615"/>
      <c r="BY68" s="1615"/>
      <c r="BZ68" s="1615"/>
      <c r="CA68" s="1615"/>
      <c r="CB68" s="1616"/>
      <c r="CC68" s="1617" t="s">
        <v>697</v>
      </c>
      <c r="CD68" s="1618"/>
      <c r="CE68" s="1618"/>
      <c r="CF68" s="1618"/>
      <c r="CG68" s="1618"/>
      <c r="CH68" s="1619"/>
      <c r="CI68" s="1614" t="s">
        <v>30</v>
      </c>
      <c r="CJ68" s="1615"/>
      <c r="CK68" s="1615"/>
      <c r="CL68" s="1615"/>
      <c r="CM68" s="1615"/>
      <c r="CN68" s="1616"/>
      <c r="CO68" s="1617" t="s">
        <v>31</v>
      </c>
      <c r="CP68" s="1618"/>
      <c r="CQ68" s="1618"/>
      <c r="CR68" s="1618"/>
      <c r="CS68" s="1618"/>
      <c r="CT68" s="1619"/>
    </row>
    <row r="69" spans="2:98" ht="57" thickBot="1">
      <c r="B69" s="941" t="s">
        <v>38</v>
      </c>
      <c r="C69" s="942" t="s">
        <v>1306</v>
      </c>
      <c r="D69" s="928" t="s">
        <v>906</v>
      </c>
      <c r="E69" s="929" t="s">
        <v>39</v>
      </c>
      <c r="F69" s="928" t="s">
        <v>40</v>
      </c>
      <c r="G69" s="930" t="s">
        <v>907</v>
      </c>
      <c r="H69" s="943" t="s">
        <v>1225</v>
      </c>
      <c r="I69" s="942" t="s">
        <v>1306</v>
      </c>
      <c r="J69" s="928" t="s">
        <v>906</v>
      </c>
      <c r="K69" s="929" t="s">
        <v>39</v>
      </c>
      <c r="L69" s="928" t="s">
        <v>40</v>
      </c>
      <c r="M69" s="930" t="s">
        <v>907</v>
      </c>
      <c r="N69" s="943" t="s">
        <v>1225</v>
      </c>
      <c r="O69" s="942" t="s">
        <v>1306</v>
      </c>
      <c r="P69" s="928" t="s">
        <v>906</v>
      </c>
      <c r="Q69" s="929" t="s">
        <v>39</v>
      </c>
      <c r="R69" s="928" t="s">
        <v>40</v>
      </c>
      <c r="S69" s="930" t="s">
        <v>907</v>
      </c>
      <c r="T69" s="943" t="s">
        <v>1225</v>
      </c>
      <c r="U69" s="942" t="s">
        <v>1306</v>
      </c>
      <c r="V69" s="928" t="s">
        <v>906</v>
      </c>
      <c r="W69" s="929" t="s">
        <v>39</v>
      </c>
      <c r="X69" s="928" t="s">
        <v>40</v>
      </c>
      <c r="Y69" s="930" t="s">
        <v>907</v>
      </c>
      <c r="Z69" s="943" t="s">
        <v>1225</v>
      </c>
      <c r="AA69" s="942" t="s">
        <v>1306</v>
      </c>
      <c r="AB69" s="928" t="s">
        <v>906</v>
      </c>
      <c r="AC69" s="929" t="s">
        <v>39</v>
      </c>
      <c r="AD69" s="928" t="s">
        <v>40</v>
      </c>
      <c r="AE69" s="930" t="s">
        <v>907</v>
      </c>
      <c r="AF69" s="943" t="s">
        <v>1225</v>
      </c>
      <c r="AG69" s="942" t="s">
        <v>1306</v>
      </c>
      <c r="AH69" s="928" t="s">
        <v>906</v>
      </c>
      <c r="AI69" s="929" t="s">
        <v>39</v>
      </c>
      <c r="AJ69" s="928" t="s">
        <v>40</v>
      </c>
      <c r="AK69" s="930" t="s">
        <v>907</v>
      </c>
      <c r="AL69" s="943" t="s">
        <v>1225</v>
      </c>
      <c r="AM69" s="942" t="s">
        <v>1306</v>
      </c>
      <c r="AN69" s="928" t="s">
        <v>906</v>
      </c>
      <c r="AO69" s="929" t="s">
        <v>39</v>
      </c>
      <c r="AP69" s="928" t="s">
        <v>40</v>
      </c>
      <c r="AQ69" s="930" t="s">
        <v>907</v>
      </c>
      <c r="AR69" s="943" t="s">
        <v>1225</v>
      </c>
      <c r="AS69" s="942" t="s">
        <v>1306</v>
      </c>
      <c r="AT69" s="928" t="s">
        <v>906</v>
      </c>
      <c r="AU69" s="929" t="s">
        <v>39</v>
      </c>
      <c r="AV69" s="928" t="s">
        <v>40</v>
      </c>
      <c r="AW69" s="930" t="s">
        <v>907</v>
      </c>
      <c r="AX69" s="943" t="s">
        <v>1225</v>
      </c>
      <c r="AY69" s="942" t="s">
        <v>1306</v>
      </c>
      <c r="AZ69" s="928" t="s">
        <v>906</v>
      </c>
      <c r="BA69" s="929" t="s">
        <v>39</v>
      </c>
      <c r="BB69" s="928" t="s">
        <v>40</v>
      </c>
      <c r="BC69" s="930" t="s">
        <v>907</v>
      </c>
      <c r="BD69" s="943" t="s">
        <v>1225</v>
      </c>
      <c r="BE69" s="942" t="s">
        <v>1306</v>
      </c>
      <c r="BF69" s="931" t="s">
        <v>906</v>
      </c>
      <c r="BG69" s="929" t="s">
        <v>39</v>
      </c>
      <c r="BH69" s="928" t="s">
        <v>40</v>
      </c>
      <c r="BI69" s="930" t="s">
        <v>907</v>
      </c>
      <c r="BJ69" s="943" t="s">
        <v>1225</v>
      </c>
      <c r="BK69" s="942" t="s">
        <v>1306</v>
      </c>
      <c r="BL69" s="928" t="s">
        <v>906</v>
      </c>
      <c r="BM69" s="929" t="s">
        <v>39</v>
      </c>
      <c r="BN69" s="928" t="s">
        <v>40</v>
      </c>
      <c r="BO69" s="930" t="s">
        <v>907</v>
      </c>
      <c r="BP69" s="943" t="s">
        <v>1225</v>
      </c>
      <c r="BQ69" s="942" t="s">
        <v>1306</v>
      </c>
      <c r="BR69" s="928" t="s">
        <v>906</v>
      </c>
      <c r="BS69" s="929" t="s">
        <v>39</v>
      </c>
      <c r="BT69" s="928" t="s">
        <v>40</v>
      </c>
      <c r="BU69" s="930" t="s">
        <v>907</v>
      </c>
      <c r="BV69" s="943" t="s">
        <v>1225</v>
      </c>
      <c r="BW69" s="942" t="s">
        <v>1306</v>
      </c>
      <c r="BX69" s="928" t="s">
        <v>906</v>
      </c>
      <c r="BY69" s="929" t="s">
        <v>39</v>
      </c>
      <c r="BZ69" s="928" t="s">
        <v>40</v>
      </c>
      <c r="CA69" s="930" t="s">
        <v>907</v>
      </c>
      <c r="CB69" s="943" t="s">
        <v>1225</v>
      </c>
      <c r="CC69" s="942" t="s">
        <v>1306</v>
      </c>
      <c r="CD69" s="928" t="s">
        <v>906</v>
      </c>
      <c r="CE69" s="929" t="s">
        <v>39</v>
      </c>
      <c r="CF69" s="928" t="s">
        <v>40</v>
      </c>
      <c r="CG69" s="930" t="s">
        <v>907</v>
      </c>
      <c r="CH69" s="943" t="s">
        <v>1225</v>
      </c>
      <c r="CI69" s="942" t="s">
        <v>1306</v>
      </c>
      <c r="CJ69" s="928" t="s">
        <v>906</v>
      </c>
      <c r="CK69" s="929" t="s">
        <v>39</v>
      </c>
      <c r="CL69" s="928" t="s">
        <v>40</v>
      </c>
      <c r="CM69" s="930" t="s">
        <v>907</v>
      </c>
      <c r="CN69" s="943" t="s">
        <v>1225</v>
      </c>
      <c r="CO69" s="942" t="s">
        <v>1306</v>
      </c>
      <c r="CP69" s="928" t="s">
        <v>906</v>
      </c>
      <c r="CQ69" s="929" t="s">
        <v>39</v>
      </c>
      <c r="CR69" s="928" t="s">
        <v>40</v>
      </c>
      <c r="CS69" s="930" t="s">
        <v>907</v>
      </c>
      <c r="CT69" s="943" t="s">
        <v>1225</v>
      </c>
    </row>
    <row r="70" spans="2:98" ht="12" thickBot="1">
      <c r="B70" s="911" t="s">
        <v>41</v>
      </c>
      <c r="C70" s="898">
        <f t="shared" ref="C70:G71" si="65">I70+O70+U70+AA70+AG70+AM70+AS70+AY70+BE70+BK70+BQ70+BW70+CC70+CI70+CO70</f>
        <v>2405002</v>
      </c>
      <c r="D70" s="898">
        <f t="shared" si="65"/>
        <v>144486</v>
      </c>
      <c r="E70" s="898">
        <f t="shared" si="65"/>
        <v>0</v>
      </c>
      <c r="F70" s="898">
        <f t="shared" si="65"/>
        <v>0</v>
      </c>
      <c r="G70" s="898">
        <f t="shared" si="65"/>
        <v>0</v>
      </c>
      <c r="H70" s="899">
        <f>+C70+D70+E70+F70-G70</f>
        <v>2549488</v>
      </c>
      <c r="I70" s="898">
        <v>2405002</v>
      </c>
      <c r="J70" s="903"/>
      <c r="K70" s="902"/>
      <c r="L70" s="901"/>
      <c r="M70" s="933"/>
      <c r="N70" s="899">
        <f>+I70+J70+K70+L70-M70</f>
        <v>2405002</v>
      </c>
      <c r="O70" s="898"/>
      <c r="P70" s="901"/>
      <c r="Q70" s="902"/>
      <c r="R70" s="901"/>
      <c r="S70" s="933"/>
      <c r="T70" s="899">
        <f>+O70+P70+Q70+R70-S70</f>
        <v>0</v>
      </c>
      <c r="U70" s="898"/>
      <c r="V70" s="901"/>
      <c r="W70" s="902"/>
      <c r="X70" s="901"/>
      <c r="Y70" s="933"/>
      <c r="Z70" s="899">
        <f>+U70+V70+W70+X70-Y70</f>
        <v>0</v>
      </c>
      <c r="AA70" s="898"/>
      <c r="AB70" s="901"/>
      <c r="AC70" s="902"/>
      <c r="AD70" s="901"/>
      <c r="AE70" s="933"/>
      <c r="AF70" s="899">
        <f>+AA70+AB70+AC70+AD70-AE70</f>
        <v>0</v>
      </c>
      <c r="AG70" s="898"/>
      <c r="AH70" s="901"/>
      <c r="AI70" s="902"/>
      <c r="AJ70" s="901"/>
      <c r="AK70" s="933"/>
      <c r="AL70" s="899">
        <f>+AG70+AH70+AI70+AJ70-AK70</f>
        <v>0</v>
      </c>
      <c r="AM70" s="898"/>
      <c r="AN70" s="901"/>
      <c r="AO70" s="902"/>
      <c r="AP70" s="901"/>
      <c r="AQ70" s="933"/>
      <c r="AR70" s="899">
        <f>+AM70+AN70+AO70+AP70-AQ70</f>
        <v>0</v>
      </c>
      <c r="AS70" s="898"/>
      <c r="AT70" s="901"/>
      <c r="AU70" s="902"/>
      <c r="AV70" s="901"/>
      <c r="AW70" s="933"/>
      <c r="AX70" s="899">
        <f>+AS70+AT70+AU70+AV70-AW70</f>
        <v>0</v>
      </c>
      <c r="AY70" s="898"/>
      <c r="AZ70" s="901"/>
      <c r="BA70" s="902"/>
      <c r="BB70" s="901"/>
      <c r="BC70" s="933"/>
      <c r="BD70" s="899">
        <f>+AY70+AZ70+BA70+BB70-BC70</f>
        <v>0</v>
      </c>
      <c r="BE70" s="898"/>
      <c r="BF70" s="903"/>
      <c r="BG70" s="902"/>
      <c r="BH70" s="901"/>
      <c r="BI70" s="933"/>
      <c r="BJ70" s="899">
        <f>+BE70+BF70+BG70+BH70-BI70</f>
        <v>0</v>
      </c>
      <c r="BK70" s="898"/>
      <c r="BL70" s="901"/>
      <c r="BM70" s="902"/>
      <c r="BN70" s="901"/>
      <c r="BO70" s="933"/>
      <c r="BP70" s="899">
        <f>+BK70+BL70+BM70+BN70-BO70</f>
        <v>0</v>
      </c>
      <c r="BQ70" s="898"/>
      <c r="BR70" s="901">
        <v>144486</v>
      </c>
      <c r="BS70" s="902"/>
      <c r="BT70" s="901"/>
      <c r="BU70" s="933"/>
      <c r="BV70" s="899">
        <f>+BQ70+BR70+BS70+BT70-BU70</f>
        <v>144486</v>
      </c>
      <c r="BW70" s="898"/>
      <c r="BX70" s="901"/>
      <c r="BY70" s="902"/>
      <c r="BZ70" s="901"/>
      <c r="CA70" s="933"/>
      <c r="CB70" s="899">
        <f>+BW70+BX70+BY70+BZ70-CA70</f>
        <v>0</v>
      </c>
      <c r="CC70" s="898"/>
      <c r="CD70" s="901"/>
      <c r="CE70" s="902"/>
      <c r="CF70" s="901"/>
      <c r="CG70" s="933"/>
      <c r="CH70" s="899">
        <f>+CC70+CD70+CE70+CF70-CG70</f>
        <v>0</v>
      </c>
      <c r="CI70" s="898"/>
      <c r="CJ70" s="901"/>
      <c r="CK70" s="902"/>
      <c r="CL70" s="901"/>
      <c r="CM70" s="933"/>
      <c r="CN70" s="899">
        <f>+CI70+CJ70+CK70+CL70-CM70</f>
        <v>0</v>
      </c>
      <c r="CO70" s="898"/>
      <c r="CP70" s="901"/>
      <c r="CQ70" s="902"/>
      <c r="CR70" s="901"/>
      <c r="CS70" s="933"/>
      <c r="CT70" s="899">
        <f>+CO70+CP70+CQ70+CR70-CS70</f>
        <v>0</v>
      </c>
    </row>
    <row r="71" spans="2:98" ht="12" thickBot="1">
      <c r="B71" s="911" t="s">
        <v>879</v>
      </c>
      <c r="C71" s="898">
        <f t="shared" si="65"/>
        <v>0</v>
      </c>
      <c r="D71" s="898">
        <f t="shared" si="65"/>
        <v>0</v>
      </c>
      <c r="E71" s="898">
        <f t="shared" si="65"/>
        <v>0</v>
      </c>
      <c r="F71" s="898">
        <f t="shared" si="65"/>
        <v>0</v>
      </c>
      <c r="G71" s="898">
        <f t="shared" si="65"/>
        <v>0</v>
      </c>
      <c r="H71" s="944">
        <f>+C71+D71+E71+F71-G71</f>
        <v>0</v>
      </c>
      <c r="I71" s="900"/>
      <c r="J71" s="907"/>
      <c r="K71" s="908"/>
      <c r="L71" s="945"/>
      <c r="M71" s="934"/>
      <c r="N71" s="944">
        <f>+I71+J71+K71+L71-M71</f>
        <v>0</v>
      </c>
      <c r="O71" s="900"/>
      <c r="P71" s="907"/>
      <c r="Q71" s="908"/>
      <c r="R71" s="945"/>
      <c r="S71" s="934"/>
      <c r="T71" s="944">
        <f>+O71+P71+Q71+R71-S71</f>
        <v>0</v>
      </c>
      <c r="U71" s="900"/>
      <c r="V71" s="907"/>
      <c r="W71" s="908"/>
      <c r="X71" s="945"/>
      <c r="Y71" s="934"/>
      <c r="Z71" s="944">
        <f>+U71+V71+W71+X71-Y71</f>
        <v>0</v>
      </c>
      <c r="AA71" s="900"/>
      <c r="AB71" s="907"/>
      <c r="AC71" s="908"/>
      <c r="AD71" s="945"/>
      <c r="AE71" s="934"/>
      <c r="AF71" s="944">
        <f>+AA71+AB71+AC71+AD71-AE71</f>
        <v>0</v>
      </c>
      <c r="AG71" s="900"/>
      <c r="AH71" s="907"/>
      <c r="AI71" s="908"/>
      <c r="AJ71" s="945"/>
      <c r="AK71" s="934"/>
      <c r="AL71" s="944">
        <f>+AG71+AH71+AI71+AJ71-AK71</f>
        <v>0</v>
      </c>
      <c r="AM71" s="900"/>
      <c r="AN71" s="907"/>
      <c r="AO71" s="908"/>
      <c r="AP71" s="945"/>
      <c r="AQ71" s="934"/>
      <c r="AR71" s="944">
        <f>+AM71+AN71+AO71+AP71-AQ71</f>
        <v>0</v>
      </c>
      <c r="AS71" s="900"/>
      <c r="AT71" s="907"/>
      <c r="AU71" s="908"/>
      <c r="AV71" s="945"/>
      <c r="AW71" s="934"/>
      <c r="AX71" s="944">
        <f>+AS71+AT71+AU71+AV71-AW71</f>
        <v>0</v>
      </c>
      <c r="AY71" s="900"/>
      <c r="AZ71" s="907"/>
      <c r="BA71" s="908"/>
      <c r="BB71" s="945"/>
      <c r="BC71" s="934"/>
      <c r="BD71" s="944">
        <f>+AY71+AZ71+BA71+BB71-BC71</f>
        <v>0</v>
      </c>
      <c r="BE71" s="900"/>
      <c r="BF71" s="909"/>
      <c r="BG71" s="908"/>
      <c r="BH71" s="945"/>
      <c r="BI71" s="934"/>
      <c r="BJ71" s="944">
        <f>+BE71+BF71+BG71+BH71-BI71</f>
        <v>0</v>
      </c>
      <c r="BK71" s="900"/>
      <c r="BL71" s="907"/>
      <c r="BM71" s="908"/>
      <c r="BN71" s="945"/>
      <c r="BO71" s="934"/>
      <c r="BP71" s="944">
        <f>+BK71+BL71+BM71+BN71-BO71</f>
        <v>0</v>
      </c>
      <c r="BQ71" s="900"/>
      <c r="BR71" s="907"/>
      <c r="BS71" s="908"/>
      <c r="BT71" s="945"/>
      <c r="BU71" s="934"/>
      <c r="BV71" s="944">
        <f>+BQ71+BR71+BS71+BT71-BU71</f>
        <v>0</v>
      </c>
      <c r="BW71" s="900"/>
      <c r="BX71" s="907"/>
      <c r="BY71" s="908"/>
      <c r="BZ71" s="945"/>
      <c r="CA71" s="934"/>
      <c r="CB71" s="944">
        <f>+BW71+BX71+BY71+BZ71-CA71</f>
        <v>0</v>
      </c>
      <c r="CC71" s="900"/>
      <c r="CD71" s="907"/>
      <c r="CE71" s="908"/>
      <c r="CF71" s="945"/>
      <c r="CG71" s="934"/>
      <c r="CH71" s="944">
        <f>+CC71+CD71+CE71+CF71-CG71</f>
        <v>0</v>
      </c>
      <c r="CI71" s="900"/>
      <c r="CJ71" s="907"/>
      <c r="CK71" s="908"/>
      <c r="CL71" s="945"/>
      <c r="CM71" s="934"/>
      <c r="CN71" s="944">
        <f>+CI71+CJ71+CK71+CL71-CM71</f>
        <v>0</v>
      </c>
      <c r="CO71" s="900"/>
      <c r="CP71" s="907"/>
      <c r="CQ71" s="908"/>
      <c r="CR71" s="945"/>
      <c r="CS71" s="934"/>
      <c r="CT71" s="944">
        <f>+CO71+CP71+CQ71+CR71-CS71</f>
        <v>0</v>
      </c>
    </row>
    <row r="72" spans="2:98" ht="12" thickBot="1">
      <c r="B72" s="917" t="s">
        <v>806</v>
      </c>
      <c r="C72" s="894">
        <f t="shared" ref="C72:BN72" si="66">+C70+C71</f>
        <v>2405002</v>
      </c>
      <c r="D72" s="894">
        <f t="shared" si="66"/>
        <v>144486</v>
      </c>
      <c r="E72" s="894">
        <f t="shared" si="66"/>
        <v>0</v>
      </c>
      <c r="F72" s="894">
        <f t="shared" si="66"/>
        <v>0</v>
      </c>
      <c r="G72" s="894">
        <f t="shared" si="66"/>
        <v>0</v>
      </c>
      <c r="H72" s="894">
        <f t="shared" si="66"/>
        <v>2549488</v>
      </c>
      <c r="I72" s="894">
        <f t="shared" si="66"/>
        <v>2405002</v>
      </c>
      <c r="J72" s="894">
        <f t="shared" si="66"/>
        <v>0</v>
      </c>
      <c r="K72" s="894">
        <f t="shared" si="66"/>
        <v>0</v>
      </c>
      <c r="L72" s="894">
        <f t="shared" si="66"/>
        <v>0</v>
      </c>
      <c r="M72" s="894">
        <f t="shared" si="66"/>
        <v>0</v>
      </c>
      <c r="N72" s="894">
        <f t="shared" si="66"/>
        <v>2405002</v>
      </c>
      <c r="O72" s="894">
        <f t="shared" si="66"/>
        <v>0</v>
      </c>
      <c r="P72" s="894">
        <f t="shared" si="66"/>
        <v>0</v>
      </c>
      <c r="Q72" s="894">
        <f t="shared" si="66"/>
        <v>0</v>
      </c>
      <c r="R72" s="894">
        <f t="shared" si="66"/>
        <v>0</v>
      </c>
      <c r="S72" s="894">
        <f t="shared" si="66"/>
        <v>0</v>
      </c>
      <c r="T72" s="894">
        <f t="shared" si="66"/>
        <v>0</v>
      </c>
      <c r="U72" s="894">
        <f t="shared" si="66"/>
        <v>0</v>
      </c>
      <c r="V72" s="894">
        <f t="shared" si="66"/>
        <v>0</v>
      </c>
      <c r="W72" s="894">
        <f t="shared" si="66"/>
        <v>0</v>
      </c>
      <c r="X72" s="894">
        <f t="shared" si="66"/>
        <v>0</v>
      </c>
      <c r="Y72" s="894">
        <f t="shared" si="66"/>
        <v>0</v>
      </c>
      <c r="Z72" s="894">
        <f t="shared" si="66"/>
        <v>0</v>
      </c>
      <c r="AA72" s="894">
        <f t="shared" si="66"/>
        <v>0</v>
      </c>
      <c r="AB72" s="894">
        <f t="shared" si="66"/>
        <v>0</v>
      </c>
      <c r="AC72" s="894">
        <f t="shared" si="66"/>
        <v>0</v>
      </c>
      <c r="AD72" s="894">
        <f t="shared" si="66"/>
        <v>0</v>
      </c>
      <c r="AE72" s="894">
        <f t="shared" si="66"/>
        <v>0</v>
      </c>
      <c r="AF72" s="894">
        <f t="shared" si="66"/>
        <v>0</v>
      </c>
      <c r="AG72" s="894">
        <f t="shared" si="66"/>
        <v>0</v>
      </c>
      <c r="AH72" s="894">
        <f t="shared" si="66"/>
        <v>0</v>
      </c>
      <c r="AI72" s="894">
        <f t="shared" si="66"/>
        <v>0</v>
      </c>
      <c r="AJ72" s="894">
        <f t="shared" si="66"/>
        <v>0</v>
      </c>
      <c r="AK72" s="894">
        <f t="shared" si="66"/>
        <v>0</v>
      </c>
      <c r="AL72" s="894">
        <f t="shared" si="66"/>
        <v>0</v>
      </c>
      <c r="AM72" s="894">
        <f t="shared" si="66"/>
        <v>0</v>
      </c>
      <c r="AN72" s="894">
        <f t="shared" si="66"/>
        <v>0</v>
      </c>
      <c r="AO72" s="894">
        <f t="shared" si="66"/>
        <v>0</v>
      </c>
      <c r="AP72" s="894">
        <f t="shared" si="66"/>
        <v>0</v>
      </c>
      <c r="AQ72" s="894">
        <f t="shared" si="66"/>
        <v>0</v>
      </c>
      <c r="AR72" s="894">
        <f t="shared" si="66"/>
        <v>0</v>
      </c>
      <c r="AS72" s="894">
        <f t="shared" si="66"/>
        <v>0</v>
      </c>
      <c r="AT72" s="894">
        <f t="shared" si="66"/>
        <v>0</v>
      </c>
      <c r="AU72" s="894">
        <f t="shared" si="66"/>
        <v>0</v>
      </c>
      <c r="AV72" s="894">
        <f t="shared" si="66"/>
        <v>0</v>
      </c>
      <c r="AW72" s="894">
        <f t="shared" si="66"/>
        <v>0</v>
      </c>
      <c r="AX72" s="894">
        <f t="shared" si="66"/>
        <v>0</v>
      </c>
      <c r="AY72" s="894">
        <f t="shared" si="66"/>
        <v>0</v>
      </c>
      <c r="AZ72" s="894">
        <f t="shared" si="66"/>
        <v>0</v>
      </c>
      <c r="BA72" s="894">
        <f t="shared" si="66"/>
        <v>0</v>
      </c>
      <c r="BB72" s="894">
        <f t="shared" si="66"/>
        <v>0</v>
      </c>
      <c r="BC72" s="894">
        <f t="shared" si="66"/>
        <v>0</v>
      </c>
      <c r="BD72" s="894">
        <f t="shared" si="66"/>
        <v>0</v>
      </c>
      <c r="BE72" s="894">
        <f t="shared" si="66"/>
        <v>0</v>
      </c>
      <c r="BF72" s="919">
        <f t="shared" si="66"/>
        <v>0</v>
      </c>
      <c r="BG72" s="894">
        <f t="shared" si="66"/>
        <v>0</v>
      </c>
      <c r="BH72" s="894">
        <f t="shared" si="66"/>
        <v>0</v>
      </c>
      <c r="BI72" s="894">
        <f t="shared" si="66"/>
        <v>0</v>
      </c>
      <c r="BJ72" s="894">
        <f t="shared" si="66"/>
        <v>0</v>
      </c>
      <c r="BK72" s="894">
        <f t="shared" si="66"/>
        <v>0</v>
      </c>
      <c r="BL72" s="894">
        <f t="shared" si="66"/>
        <v>0</v>
      </c>
      <c r="BM72" s="894">
        <f t="shared" si="66"/>
        <v>0</v>
      </c>
      <c r="BN72" s="894">
        <f t="shared" si="66"/>
        <v>0</v>
      </c>
      <c r="BO72" s="894">
        <f t="shared" ref="BO72:CT72" si="67">+BO70+BO71</f>
        <v>0</v>
      </c>
      <c r="BP72" s="894">
        <f t="shared" si="67"/>
        <v>0</v>
      </c>
      <c r="BQ72" s="894">
        <f t="shared" si="67"/>
        <v>0</v>
      </c>
      <c r="BR72" s="894">
        <f t="shared" si="67"/>
        <v>144486</v>
      </c>
      <c r="BS72" s="894">
        <f t="shared" si="67"/>
        <v>0</v>
      </c>
      <c r="BT72" s="894">
        <f t="shared" si="67"/>
        <v>0</v>
      </c>
      <c r="BU72" s="894">
        <f t="shared" si="67"/>
        <v>0</v>
      </c>
      <c r="BV72" s="894">
        <f t="shared" si="67"/>
        <v>144486</v>
      </c>
      <c r="BW72" s="894">
        <f t="shared" si="67"/>
        <v>0</v>
      </c>
      <c r="BX72" s="894">
        <f t="shared" si="67"/>
        <v>0</v>
      </c>
      <c r="BY72" s="894">
        <f t="shared" si="67"/>
        <v>0</v>
      </c>
      <c r="BZ72" s="894">
        <f t="shared" si="67"/>
        <v>0</v>
      </c>
      <c r="CA72" s="894">
        <f t="shared" si="67"/>
        <v>0</v>
      </c>
      <c r="CB72" s="894">
        <f t="shared" si="67"/>
        <v>0</v>
      </c>
      <c r="CC72" s="894">
        <f t="shared" si="67"/>
        <v>0</v>
      </c>
      <c r="CD72" s="894">
        <f t="shared" si="67"/>
        <v>0</v>
      </c>
      <c r="CE72" s="894">
        <f t="shared" si="67"/>
        <v>0</v>
      </c>
      <c r="CF72" s="894">
        <f t="shared" si="67"/>
        <v>0</v>
      </c>
      <c r="CG72" s="894">
        <f t="shared" si="67"/>
        <v>0</v>
      </c>
      <c r="CH72" s="894">
        <f t="shared" si="67"/>
        <v>0</v>
      </c>
      <c r="CI72" s="894">
        <f t="shared" si="67"/>
        <v>0</v>
      </c>
      <c r="CJ72" s="894">
        <f t="shared" si="67"/>
        <v>0</v>
      </c>
      <c r="CK72" s="894">
        <f t="shared" si="67"/>
        <v>0</v>
      </c>
      <c r="CL72" s="894">
        <f t="shared" si="67"/>
        <v>0</v>
      </c>
      <c r="CM72" s="894">
        <f t="shared" si="67"/>
        <v>0</v>
      </c>
      <c r="CN72" s="894">
        <f t="shared" si="67"/>
        <v>0</v>
      </c>
      <c r="CO72" s="894">
        <f t="shared" si="67"/>
        <v>0</v>
      </c>
      <c r="CP72" s="894">
        <f t="shared" si="67"/>
        <v>0</v>
      </c>
      <c r="CQ72" s="894">
        <f t="shared" si="67"/>
        <v>0</v>
      </c>
      <c r="CR72" s="894">
        <f t="shared" si="67"/>
        <v>0</v>
      </c>
      <c r="CS72" s="894">
        <f t="shared" si="67"/>
        <v>0</v>
      </c>
      <c r="CT72" s="894">
        <f t="shared" si="67"/>
        <v>0</v>
      </c>
    </row>
    <row r="73" spans="2:98" ht="12" thickBot="1">
      <c r="B73" s="917" t="s">
        <v>909</v>
      </c>
      <c r="C73" s="921"/>
      <c r="D73" s="921"/>
      <c r="E73" s="922"/>
      <c r="F73" s="921"/>
      <c r="G73" s="937"/>
      <c r="H73" s="937"/>
      <c r="I73" s="921"/>
      <c r="J73" s="921"/>
      <c r="K73" s="922"/>
      <c r="L73" s="921"/>
      <c r="M73" s="937"/>
      <c r="N73" s="937"/>
      <c r="O73" s="921"/>
      <c r="P73" s="921"/>
      <c r="Q73" s="922"/>
      <c r="R73" s="921"/>
      <c r="S73" s="937"/>
      <c r="T73" s="937"/>
      <c r="U73" s="921"/>
      <c r="V73" s="921"/>
      <c r="W73" s="922"/>
      <c r="X73" s="921"/>
      <c r="Y73" s="937"/>
      <c r="Z73" s="937"/>
      <c r="AA73" s="921"/>
      <c r="AB73" s="921"/>
      <c r="AC73" s="922"/>
      <c r="AD73" s="921"/>
      <c r="AE73" s="937"/>
      <c r="AF73" s="937"/>
      <c r="AG73" s="921"/>
      <c r="AH73" s="921"/>
      <c r="AI73" s="922"/>
      <c r="AJ73" s="921"/>
      <c r="AK73" s="937"/>
      <c r="AL73" s="937"/>
      <c r="AM73" s="921"/>
      <c r="AN73" s="921"/>
      <c r="AO73" s="922"/>
      <c r="AP73" s="921"/>
      <c r="AQ73" s="937"/>
      <c r="AR73" s="937"/>
      <c r="AS73" s="921"/>
      <c r="AT73" s="921"/>
      <c r="AU73" s="922"/>
      <c r="AV73" s="921"/>
      <c r="AW73" s="937"/>
      <c r="AX73" s="937"/>
      <c r="AY73" s="921"/>
      <c r="AZ73" s="921"/>
      <c r="BA73" s="922"/>
      <c r="BB73" s="921"/>
      <c r="BC73" s="937"/>
      <c r="BD73" s="937"/>
      <c r="BE73" s="921"/>
      <c r="BF73" s="923"/>
      <c r="BG73" s="922"/>
      <c r="BH73" s="921"/>
      <c r="BI73" s="937"/>
      <c r="BJ73" s="937"/>
      <c r="BK73" s="921"/>
      <c r="BL73" s="921"/>
      <c r="BM73" s="922"/>
      <c r="BN73" s="921"/>
      <c r="BO73" s="937"/>
      <c r="BP73" s="937"/>
      <c r="BQ73" s="921"/>
      <c r="BR73" s="921"/>
      <c r="BS73" s="922"/>
      <c r="BT73" s="921"/>
      <c r="BU73" s="937"/>
      <c r="BV73" s="937"/>
      <c r="BW73" s="921"/>
      <c r="BX73" s="921"/>
      <c r="BY73" s="922"/>
      <c r="BZ73" s="921"/>
      <c r="CA73" s="937"/>
      <c r="CB73" s="937"/>
      <c r="CC73" s="921"/>
      <c r="CD73" s="921"/>
      <c r="CE73" s="922"/>
      <c r="CF73" s="921"/>
      <c r="CG73" s="937"/>
      <c r="CH73" s="937"/>
      <c r="CI73" s="921"/>
      <c r="CJ73" s="921"/>
      <c r="CK73" s="922"/>
      <c r="CL73" s="921"/>
      <c r="CM73" s="937"/>
      <c r="CN73" s="937"/>
      <c r="CO73" s="921"/>
      <c r="CP73" s="921"/>
      <c r="CQ73" s="922"/>
      <c r="CR73" s="921"/>
      <c r="CS73" s="937"/>
      <c r="CT73" s="937"/>
    </row>
    <row r="75" spans="2:98" ht="12" thickBot="1">
      <c r="H75" s="888" t="s">
        <v>1307</v>
      </c>
      <c r="N75" s="888" t="s">
        <v>1307</v>
      </c>
      <c r="T75" s="888" t="s">
        <v>1307</v>
      </c>
      <c r="Z75" s="888" t="s">
        <v>1307</v>
      </c>
      <c r="AF75" s="888" t="s">
        <v>1307</v>
      </c>
      <c r="AL75" s="888" t="s">
        <v>1307</v>
      </c>
      <c r="AR75" s="888" t="s">
        <v>1307</v>
      </c>
      <c r="AX75" s="888" t="s">
        <v>1307</v>
      </c>
      <c r="BD75" s="888" t="s">
        <v>1307</v>
      </c>
      <c r="BJ75" s="888" t="s">
        <v>1307</v>
      </c>
      <c r="BP75" s="888" t="s">
        <v>1307</v>
      </c>
      <c r="BV75" s="888"/>
      <c r="CB75" s="888"/>
      <c r="CH75" s="888"/>
      <c r="CN75" s="888"/>
      <c r="CT75" s="888"/>
    </row>
    <row r="76" spans="2:98" s="888" customFormat="1" ht="12" customHeight="1" thickBot="1">
      <c r="B76" s="925"/>
      <c r="C76" s="1614" t="s">
        <v>860</v>
      </c>
      <c r="D76" s="1615"/>
      <c r="E76" s="1615"/>
      <c r="F76" s="1615"/>
      <c r="G76" s="1615"/>
      <c r="H76" s="1616"/>
      <c r="I76" s="1617" t="s">
        <v>17</v>
      </c>
      <c r="J76" s="1618"/>
      <c r="K76" s="1618"/>
      <c r="L76" s="1618"/>
      <c r="M76" s="1618"/>
      <c r="N76" s="1619"/>
      <c r="O76" s="1614" t="s">
        <v>18</v>
      </c>
      <c r="P76" s="1615"/>
      <c r="Q76" s="1615"/>
      <c r="R76" s="1615"/>
      <c r="S76" s="1615"/>
      <c r="T76" s="1616"/>
      <c r="U76" s="1617" t="s">
        <v>19</v>
      </c>
      <c r="V76" s="1618"/>
      <c r="W76" s="1618"/>
      <c r="X76" s="1618"/>
      <c r="Y76" s="1618"/>
      <c r="Z76" s="1619"/>
      <c r="AA76" s="1614" t="s">
        <v>20</v>
      </c>
      <c r="AB76" s="1615"/>
      <c r="AC76" s="1615"/>
      <c r="AD76" s="1615"/>
      <c r="AE76" s="1615"/>
      <c r="AF76" s="1616"/>
      <c r="AG76" s="1617" t="s">
        <v>21</v>
      </c>
      <c r="AH76" s="1618"/>
      <c r="AI76" s="1618"/>
      <c r="AJ76" s="1618"/>
      <c r="AK76" s="1618"/>
      <c r="AL76" s="1619"/>
      <c r="AM76" s="1614" t="s">
        <v>22</v>
      </c>
      <c r="AN76" s="1615"/>
      <c r="AO76" s="1615"/>
      <c r="AP76" s="1615"/>
      <c r="AQ76" s="1615"/>
      <c r="AR76" s="1616"/>
      <c r="AS76" s="1617" t="s">
        <v>23</v>
      </c>
      <c r="AT76" s="1618"/>
      <c r="AU76" s="1618"/>
      <c r="AV76" s="1618"/>
      <c r="AW76" s="1618"/>
      <c r="AX76" s="1619"/>
      <c r="AY76" s="1614" t="s">
        <v>24</v>
      </c>
      <c r="AZ76" s="1615"/>
      <c r="BA76" s="1615"/>
      <c r="BB76" s="1615"/>
      <c r="BC76" s="1615"/>
      <c r="BD76" s="1616"/>
      <c r="BE76" s="1617" t="s">
        <v>25</v>
      </c>
      <c r="BF76" s="1618"/>
      <c r="BG76" s="1618"/>
      <c r="BH76" s="1618"/>
      <c r="BI76" s="1618"/>
      <c r="BJ76" s="1619"/>
      <c r="BK76" s="1614" t="s">
        <v>26</v>
      </c>
      <c r="BL76" s="1615"/>
      <c r="BM76" s="1615"/>
      <c r="BN76" s="1615"/>
      <c r="BO76" s="1615"/>
      <c r="BP76" s="1616"/>
      <c r="BQ76" s="1617" t="s">
        <v>27</v>
      </c>
      <c r="BR76" s="1618"/>
      <c r="BS76" s="1618"/>
      <c r="BT76" s="1618"/>
      <c r="BU76" s="1618"/>
      <c r="BV76" s="1619"/>
      <c r="BW76" s="1614" t="s">
        <v>28</v>
      </c>
      <c r="BX76" s="1615"/>
      <c r="BY76" s="1615"/>
      <c r="BZ76" s="1615"/>
      <c r="CA76" s="1615"/>
      <c r="CB76" s="1616"/>
      <c r="CC76" s="1617" t="s">
        <v>697</v>
      </c>
      <c r="CD76" s="1618"/>
      <c r="CE76" s="1618"/>
      <c r="CF76" s="1618"/>
      <c r="CG76" s="1618"/>
      <c r="CH76" s="1619"/>
      <c r="CI76" s="1614" t="s">
        <v>30</v>
      </c>
      <c r="CJ76" s="1615"/>
      <c r="CK76" s="1615"/>
      <c r="CL76" s="1615"/>
      <c r="CM76" s="1615"/>
      <c r="CN76" s="1616"/>
      <c r="CO76" s="1617" t="s">
        <v>31</v>
      </c>
      <c r="CP76" s="1618"/>
      <c r="CQ76" s="1618"/>
      <c r="CR76" s="1618"/>
      <c r="CS76" s="1618"/>
      <c r="CT76" s="1619"/>
    </row>
    <row r="77" spans="2:98" ht="45.75" thickBot="1">
      <c r="B77" s="946" t="s">
        <v>42</v>
      </c>
      <c r="C77" s="947" t="s">
        <v>1311</v>
      </c>
      <c r="D77" s="948" t="s">
        <v>43</v>
      </c>
      <c r="E77" s="948" t="s">
        <v>44</v>
      </c>
      <c r="F77" s="948" t="s">
        <v>859</v>
      </c>
      <c r="G77" s="948" t="s">
        <v>923</v>
      </c>
      <c r="H77" s="949" t="s">
        <v>1309</v>
      </c>
      <c r="I77" s="947" t="s">
        <v>1311</v>
      </c>
      <c r="J77" s="948" t="s">
        <v>43</v>
      </c>
      <c r="K77" s="948" t="s">
        <v>44</v>
      </c>
      <c r="L77" s="948" t="s">
        <v>859</v>
      </c>
      <c r="M77" s="948" t="s">
        <v>923</v>
      </c>
      <c r="N77" s="949" t="s">
        <v>1309</v>
      </c>
      <c r="O77" s="947" t="s">
        <v>1311</v>
      </c>
      <c r="P77" s="948" t="s">
        <v>43</v>
      </c>
      <c r="Q77" s="948" t="s">
        <v>44</v>
      </c>
      <c r="R77" s="948" t="s">
        <v>859</v>
      </c>
      <c r="S77" s="948" t="s">
        <v>923</v>
      </c>
      <c r="T77" s="949" t="s">
        <v>1309</v>
      </c>
      <c r="U77" s="947" t="s">
        <v>1311</v>
      </c>
      <c r="V77" s="948" t="s">
        <v>43</v>
      </c>
      <c r="W77" s="948" t="s">
        <v>44</v>
      </c>
      <c r="X77" s="948" t="s">
        <v>859</v>
      </c>
      <c r="Y77" s="948" t="s">
        <v>923</v>
      </c>
      <c r="Z77" s="949" t="s">
        <v>1309</v>
      </c>
      <c r="AA77" s="947" t="s">
        <v>1311</v>
      </c>
      <c r="AB77" s="948" t="s">
        <v>43</v>
      </c>
      <c r="AC77" s="948" t="s">
        <v>44</v>
      </c>
      <c r="AD77" s="948" t="s">
        <v>859</v>
      </c>
      <c r="AE77" s="948" t="s">
        <v>923</v>
      </c>
      <c r="AF77" s="949" t="s">
        <v>1309</v>
      </c>
      <c r="AG77" s="947" t="s">
        <v>1311</v>
      </c>
      <c r="AH77" s="948" t="s">
        <v>43</v>
      </c>
      <c r="AI77" s="948" t="s">
        <v>44</v>
      </c>
      <c r="AJ77" s="948" t="s">
        <v>859</v>
      </c>
      <c r="AK77" s="948" t="s">
        <v>923</v>
      </c>
      <c r="AL77" s="949" t="s">
        <v>1309</v>
      </c>
      <c r="AM77" s="947" t="s">
        <v>1311</v>
      </c>
      <c r="AN77" s="948" t="s">
        <v>43</v>
      </c>
      <c r="AO77" s="948" t="s">
        <v>44</v>
      </c>
      <c r="AP77" s="948" t="s">
        <v>859</v>
      </c>
      <c r="AQ77" s="948" t="s">
        <v>923</v>
      </c>
      <c r="AR77" s="949" t="s">
        <v>1309</v>
      </c>
      <c r="AS77" s="947" t="s">
        <v>1311</v>
      </c>
      <c r="AT77" s="948" t="s">
        <v>43</v>
      </c>
      <c r="AU77" s="948" t="s">
        <v>44</v>
      </c>
      <c r="AV77" s="948" t="s">
        <v>859</v>
      </c>
      <c r="AW77" s="948" t="s">
        <v>923</v>
      </c>
      <c r="AX77" s="949" t="s">
        <v>1309</v>
      </c>
      <c r="AY77" s="947" t="s">
        <v>1311</v>
      </c>
      <c r="AZ77" s="948" t="s">
        <v>43</v>
      </c>
      <c r="BA77" s="948" t="s">
        <v>44</v>
      </c>
      <c r="BB77" s="948" t="s">
        <v>859</v>
      </c>
      <c r="BC77" s="948" t="s">
        <v>923</v>
      </c>
      <c r="BD77" s="949" t="s">
        <v>1309</v>
      </c>
      <c r="BE77" s="947" t="s">
        <v>1311</v>
      </c>
      <c r="BF77" s="903" t="s">
        <v>43</v>
      </c>
      <c r="BG77" s="948" t="s">
        <v>44</v>
      </c>
      <c r="BH77" s="948" t="s">
        <v>859</v>
      </c>
      <c r="BI77" s="948" t="s">
        <v>923</v>
      </c>
      <c r="BJ77" s="949" t="s">
        <v>1309</v>
      </c>
      <c r="BK77" s="947" t="s">
        <v>1311</v>
      </c>
      <c r="BL77" s="948" t="s">
        <v>43</v>
      </c>
      <c r="BM77" s="948" t="s">
        <v>44</v>
      </c>
      <c r="BN77" s="948" t="s">
        <v>859</v>
      </c>
      <c r="BO77" s="948" t="s">
        <v>923</v>
      </c>
      <c r="BP77" s="949" t="s">
        <v>1309</v>
      </c>
      <c r="BQ77" s="947" t="s">
        <v>1311</v>
      </c>
      <c r="BR77" s="948" t="s">
        <v>43</v>
      </c>
      <c r="BS77" s="948" t="s">
        <v>44</v>
      </c>
      <c r="BT77" s="948" t="s">
        <v>859</v>
      </c>
      <c r="BU77" s="948" t="s">
        <v>923</v>
      </c>
      <c r="BV77" s="949" t="s">
        <v>1309</v>
      </c>
      <c r="BW77" s="947" t="s">
        <v>1311</v>
      </c>
      <c r="BX77" s="948" t="s">
        <v>43</v>
      </c>
      <c r="BY77" s="948" t="s">
        <v>44</v>
      </c>
      <c r="BZ77" s="948" t="s">
        <v>859</v>
      </c>
      <c r="CA77" s="948" t="s">
        <v>923</v>
      </c>
      <c r="CB77" s="949" t="s">
        <v>1309</v>
      </c>
      <c r="CC77" s="947" t="s">
        <v>1311</v>
      </c>
      <c r="CD77" s="948" t="s">
        <v>43</v>
      </c>
      <c r="CE77" s="948" t="s">
        <v>44</v>
      </c>
      <c r="CF77" s="948" t="s">
        <v>859</v>
      </c>
      <c r="CG77" s="948" t="s">
        <v>923</v>
      </c>
      <c r="CH77" s="949" t="s">
        <v>1309</v>
      </c>
      <c r="CI77" s="947" t="s">
        <v>1311</v>
      </c>
      <c r="CJ77" s="948" t="s">
        <v>43</v>
      </c>
      <c r="CK77" s="948" t="s">
        <v>44</v>
      </c>
      <c r="CL77" s="948" t="s">
        <v>859</v>
      </c>
      <c r="CM77" s="948" t="s">
        <v>923</v>
      </c>
      <c r="CN77" s="949" t="s">
        <v>1309</v>
      </c>
      <c r="CO77" s="947" t="s">
        <v>1311</v>
      </c>
      <c r="CP77" s="948" t="s">
        <v>43</v>
      </c>
      <c r="CQ77" s="948" t="s">
        <v>44</v>
      </c>
      <c r="CR77" s="948" t="s">
        <v>859</v>
      </c>
      <c r="CS77" s="948" t="s">
        <v>923</v>
      </c>
      <c r="CT77" s="949" t="s">
        <v>1309</v>
      </c>
    </row>
    <row r="78" spans="2:98">
      <c r="B78" s="911" t="s">
        <v>41</v>
      </c>
      <c r="C78" s="898">
        <f>I78+O78+U78+AA78+AG78+AM78+AS78+AY78+BE78+BK78+BQ78+BW78+CC78+CI78+CO78</f>
        <v>598667</v>
      </c>
      <c r="D78" s="898">
        <f>J78+P78+V78+AB78+AH78+AN78+AT78+AZ78+BF78+BL78+BR78+BX78+CD78+CJ78+CP78</f>
        <v>482755</v>
      </c>
      <c r="E78" s="898">
        <f>K78+Q78+W78+AC78+AI78+AO78+AU78+BA78+BG78+BM78+BS78+BY78+CE78+CK78+CQ78</f>
        <v>0</v>
      </c>
      <c r="F78" s="898">
        <f>C78+D78+E78</f>
        <v>1081422</v>
      </c>
      <c r="G78" s="898">
        <f>M78+S78+Y78+AE78+AK78+AQ78+AW78+BC78+BI78+BO78+BU78+CA78+CG78+CM78+CS78</f>
        <v>0</v>
      </c>
      <c r="H78" s="899">
        <f>+F78-G78</f>
        <v>1081422</v>
      </c>
      <c r="I78" s="950">
        <v>598667</v>
      </c>
      <c r="J78" s="903">
        <v>474500</v>
      </c>
      <c r="K78" s="904"/>
      <c r="L78" s="903">
        <f>+I78+J78+K78</f>
        <v>1073167</v>
      </c>
      <c r="M78" s="899"/>
      <c r="N78" s="899">
        <f>+L78-M78</f>
        <v>1073167</v>
      </c>
      <c r="O78" s="950"/>
      <c r="P78" s="903"/>
      <c r="Q78" s="904"/>
      <c r="R78" s="903">
        <f>+O78+P78+Q78</f>
        <v>0</v>
      </c>
      <c r="S78" s="899"/>
      <c r="T78" s="899">
        <f>+R78-S78</f>
        <v>0</v>
      </c>
      <c r="U78" s="950"/>
      <c r="V78" s="903"/>
      <c r="W78" s="904"/>
      <c r="X78" s="903">
        <f>+U78+V78+W78</f>
        <v>0</v>
      </c>
      <c r="Y78" s="899"/>
      <c r="Z78" s="899">
        <f>+X78-Y78</f>
        <v>0</v>
      </c>
      <c r="AA78" s="950"/>
      <c r="AB78" s="903"/>
      <c r="AC78" s="904"/>
      <c r="AD78" s="903">
        <f>+AA78+AB78+AC78</f>
        <v>0</v>
      </c>
      <c r="AE78" s="899"/>
      <c r="AF78" s="899">
        <f>+AD78-AE78</f>
        <v>0</v>
      </c>
      <c r="AG78" s="950"/>
      <c r="AH78" s="903"/>
      <c r="AI78" s="904"/>
      <c r="AJ78" s="903">
        <f>+AG78+AH78+AI78</f>
        <v>0</v>
      </c>
      <c r="AK78" s="899"/>
      <c r="AL78" s="899">
        <f>+AJ78-AK78</f>
        <v>0</v>
      </c>
      <c r="AM78" s="950"/>
      <c r="AN78" s="903"/>
      <c r="AO78" s="904"/>
      <c r="AP78" s="903">
        <f>+AM78+AN78+AO78</f>
        <v>0</v>
      </c>
      <c r="AQ78" s="899"/>
      <c r="AR78" s="899">
        <f>+AP78-AQ78</f>
        <v>0</v>
      </c>
      <c r="AS78" s="950"/>
      <c r="AT78" s="903"/>
      <c r="AU78" s="904"/>
      <c r="AV78" s="903">
        <f>+AS78+AT78+AU78</f>
        <v>0</v>
      </c>
      <c r="AW78" s="899"/>
      <c r="AX78" s="899">
        <f>+AV78-AW78</f>
        <v>0</v>
      </c>
      <c r="AY78" s="950"/>
      <c r="AZ78" s="903"/>
      <c r="BA78" s="904"/>
      <c r="BB78" s="903">
        <f>+AY78+AZ78+BA78</f>
        <v>0</v>
      </c>
      <c r="BC78" s="899"/>
      <c r="BD78" s="899">
        <f>+BB78-BC78</f>
        <v>0</v>
      </c>
      <c r="BE78" s="950"/>
      <c r="BF78" s="903"/>
      <c r="BG78" s="904"/>
      <c r="BH78" s="903">
        <f>+BE78+BF78+BG78</f>
        <v>0</v>
      </c>
      <c r="BI78" s="899"/>
      <c r="BJ78" s="899">
        <f>+BH78-BI78</f>
        <v>0</v>
      </c>
      <c r="BK78" s="950"/>
      <c r="BL78" s="903"/>
      <c r="BM78" s="904"/>
      <c r="BN78" s="903">
        <f>+BK78+BL78+BM78</f>
        <v>0</v>
      </c>
      <c r="BO78" s="899"/>
      <c r="BP78" s="899">
        <f>+BN78-BO78</f>
        <v>0</v>
      </c>
      <c r="BQ78" s="950"/>
      <c r="BR78" s="903">
        <v>8255</v>
      </c>
      <c r="BS78" s="904"/>
      <c r="BT78" s="903">
        <f>+BQ78+BR78+BS78</f>
        <v>8255</v>
      </c>
      <c r="BU78" s="899"/>
      <c r="BV78" s="899">
        <f>+BT78-BU78</f>
        <v>8255</v>
      </c>
      <c r="BW78" s="950"/>
      <c r="BX78" s="903"/>
      <c r="BY78" s="904"/>
      <c r="BZ78" s="903">
        <f>+BW78+BX78+BY78</f>
        <v>0</v>
      </c>
      <c r="CA78" s="899"/>
      <c r="CB78" s="899">
        <f>+BZ78-CA78</f>
        <v>0</v>
      </c>
      <c r="CC78" s="950"/>
      <c r="CD78" s="903"/>
      <c r="CE78" s="904"/>
      <c r="CF78" s="903">
        <f>+CC78+CD78+CE78</f>
        <v>0</v>
      </c>
      <c r="CG78" s="899"/>
      <c r="CH78" s="899">
        <f>+CF78-CG78</f>
        <v>0</v>
      </c>
      <c r="CI78" s="950"/>
      <c r="CJ78" s="903"/>
      <c r="CK78" s="904"/>
      <c r="CL78" s="903">
        <f>+CI78+CJ78+CK78</f>
        <v>0</v>
      </c>
      <c r="CM78" s="899"/>
      <c r="CN78" s="899">
        <f>+CL78-CM78</f>
        <v>0</v>
      </c>
      <c r="CO78" s="950"/>
      <c r="CP78" s="903"/>
      <c r="CQ78" s="904"/>
      <c r="CR78" s="903">
        <f>+CO78+CP78+CQ78</f>
        <v>0</v>
      </c>
      <c r="CS78" s="899"/>
      <c r="CT78" s="899">
        <f>+CR78-CS78</f>
        <v>0</v>
      </c>
    </row>
    <row r="79" spans="2:98" ht="12" thickBot="1">
      <c r="B79" s="911" t="s">
        <v>879</v>
      </c>
      <c r="C79" s="921">
        <f t="shared" ref="C79:E79" si="68">I79+O79+U79+AA79+AG79+AM79+AS79+AY79+BE79+BK79+BR79+BW79+CC79+CI79+CO79</f>
        <v>0</v>
      </c>
      <c r="D79" s="921">
        <f t="shared" si="68"/>
        <v>0</v>
      </c>
      <c r="E79" s="921">
        <f t="shared" si="68"/>
        <v>0</v>
      </c>
      <c r="F79" s="921">
        <f>C79+D79+E79</f>
        <v>0</v>
      </c>
      <c r="G79" s="921">
        <f>M79+S79+Y79+AE79+AK79+AQ79+AW79+BC79+BI79+BO79+BV79+CA79+CG79+CM79+CS79</f>
        <v>0</v>
      </c>
      <c r="H79" s="906">
        <f>+F79-G79</f>
        <v>0</v>
      </c>
      <c r="I79" s="951"/>
      <c r="J79" s="909"/>
      <c r="K79" s="910"/>
      <c r="L79" s="909">
        <f>+I79+J79+K79</f>
        <v>0</v>
      </c>
      <c r="M79" s="906"/>
      <c r="N79" s="906">
        <f>+L79-M79</f>
        <v>0</v>
      </c>
      <c r="O79" s="951"/>
      <c r="P79" s="909"/>
      <c r="Q79" s="910"/>
      <c r="R79" s="909">
        <f>+O79+P79+Q79</f>
        <v>0</v>
      </c>
      <c r="S79" s="906"/>
      <c r="T79" s="906">
        <f>+R79-S79</f>
        <v>0</v>
      </c>
      <c r="U79" s="951"/>
      <c r="V79" s="909"/>
      <c r="W79" s="910"/>
      <c r="X79" s="909">
        <f>+U79+V79+W79</f>
        <v>0</v>
      </c>
      <c r="Y79" s="906"/>
      <c r="Z79" s="906">
        <f>+X79-Y79</f>
        <v>0</v>
      </c>
      <c r="AA79" s="951"/>
      <c r="AB79" s="909"/>
      <c r="AC79" s="910"/>
      <c r="AD79" s="909">
        <f>+AA79+AB79+AC79</f>
        <v>0</v>
      </c>
      <c r="AE79" s="906"/>
      <c r="AF79" s="906">
        <f>+AD79-AE79</f>
        <v>0</v>
      </c>
      <c r="AG79" s="951"/>
      <c r="AH79" s="909"/>
      <c r="AI79" s="910"/>
      <c r="AJ79" s="909">
        <f>+AG79+AH79+AI79</f>
        <v>0</v>
      </c>
      <c r="AK79" s="906"/>
      <c r="AL79" s="906">
        <f>+AJ79-AK79</f>
        <v>0</v>
      </c>
      <c r="AM79" s="951"/>
      <c r="AN79" s="909"/>
      <c r="AO79" s="910"/>
      <c r="AP79" s="909">
        <f>+AM79+AN79+AO79</f>
        <v>0</v>
      </c>
      <c r="AQ79" s="906"/>
      <c r="AR79" s="906">
        <f>+AP79-AQ79</f>
        <v>0</v>
      </c>
      <c r="AS79" s="951"/>
      <c r="AT79" s="909"/>
      <c r="AU79" s="910"/>
      <c r="AV79" s="909">
        <f>+AS79+AT79+AU79</f>
        <v>0</v>
      </c>
      <c r="AW79" s="906"/>
      <c r="AX79" s="906">
        <f>+AV79-AW79</f>
        <v>0</v>
      </c>
      <c r="AY79" s="951"/>
      <c r="AZ79" s="909"/>
      <c r="BA79" s="910"/>
      <c r="BB79" s="909">
        <f>+AY79+AZ79+BA79</f>
        <v>0</v>
      </c>
      <c r="BC79" s="906"/>
      <c r="BD79" s="906">
        <f>+BB79-BC79</f>
        <v>0</v>
      </c>
      <c r="BE79" s="951"/>
      <c r="BF79" s="909"/>
      <c r="BG79" s="910"/>
      <c r="BH79" s="909">
        <f>+BE79+BF79+BG79</f>
        <v>0</v>
      </c>
      <c r="BI79" s="906"/>
      <c r="BJ79" s="906">
        <f>+BH79-BI79</f>
        <v>0</v>
      </c>
      <c r="BK79" s="951"/>
      <c r="BL79" s="909"/>
      <c r="BM79" s="910"/>
      <c r="BN79" s="909">
        <f>+BK79+BL79+BM79</f>
        <v>0</v>
      </c>
      <c r="BO79" s="906"/>
      <c r="BP79" s="906">
        <f>+BN79-BO79</f>
        <v>0</v>
      </c>
      <c r="BQ79" s="951"/>
      <c r="BR79" s="909"/>
      <c r="BS79" s="910"/>
      <c r="BT79" s="909">
        <f>+BQ79+BR79+BS79</f>
        <v>0</v>
      </c>
      <c r="BU79" s="906"/>
      <c r="BV79" s="906">
        <f>+BT79-BU79</f>
        <v>0</v>
      </c>
      <c r="BW79" s="951"/>
      <c r="BX79" s="909"/>
      <c r="BY79" s="910"/>
      <c r="BZ79" s="909">
        <f>+BW79+BX79+BY79</f>
        <v>0</v>
      </c>
      <c r="CA79" s="906"/>
      <c r="CB79" s="906">
        <f>+BZ79-CA79</f>
        <v>0</v>
      </c>
      <c r="CC79" s="951"/>
      <c r="CD79" s="909"/>
      <c r="CE79" s="910"/>
      <c r="CF79" s="909">
        <f>+CC79+CD79+CE79</f>
        <v>0</v>
      </c>
      <c r="CG79" s="906"/>
      <c r="CH79" s="906">
        <f>+CF79-CG79</f>
        <v>0</v>
      </c>
      <c r="CI79" s="951"/>
      <c r="CJ79" s="909"/>
      <c r="CK79" s="910"/>
      <c r="CL79" s="909">
        <f>+CI79+CJ79+CK79</f>
        <v>0</v>
      </c>
      <c r="CM79" s="906"/>
      <c r="CN79" s="906">
        <f>+CL79-CM79</f>
        <v>0</v>
      </c>
      <c r="CO79" s="951"/>
      <c r="CP79" s="909"/>
      <c r="CQ79" s="910"/>
      <c r="CR79" s="909">
        <f>+CO79+CP79+CQ79</f>
        <v>0</v>
      </c>
      <c r="CS79" s="906"/>
      <c r="CT79" s="906">
        <f>+CR79-CS79</f>
        <v>0</v>
      </c>
    </row>
    <row r="80" spans="2:98" ht="12" thickBot="1">
      <c r="B80" s="917" t="s">
        <v>806</v>
      </c>
      <c r="C80" s="919">
        <f t="shared" ref="C80:H80" si="69">SUM(C78:C79)</f>
        <v>598667</v>
      </c>
      <c r="D80" s="919">
        <f t="shared" si="69"/>
        <v>482755</v>
      </c>
      <c r="E80" s="919">
        <f t="shared" si="69"/>
        <v>0</v>
      </c>
      <c r="F80" s="919">
        <f t="shared" si="69"/>
        <v>1081422</v>
      </c>
      <c r="G80" s="919">
        <f t="shared" si="69"/>
        <v>0</v>
      </c>
      <c r="H80" s="919">
        <f t="shared" si="69"/>
        <v>1081422</v>
      </c>
      <c r="I80" s="919">
        <f t="shared" ref="I80:BT80" si="70">SUM(I78:I79)</f>
        <v>598667</v>
      </c>
      <c r="J80" s="919">
        <f t="shared" si="70"/>
        <v>474500</v>
      </c>
      <c r="K80" s="919">
        <f t="shared" si="70"/>
        <v>0</v>
      </c>
      <c r="L80" s="919">
        <f t="shared" si="70"/>
        <v>1073167</v>
      </c>
      <c r="M80" s="919">
        <f t="shared" si="70"/>
        <v>0</v>
      </c>
      <c r="N80" s="919">
        <f t="shared" si="70"/>
        <v>1073167</v>
      </c>
      <c r="O80" s="919">
        <f t="shared" si="70"/>
        <v>0</v>
      </c>
      <c r="P80" s="919">
        <f t="shared" si="70"/>
        <v>0</v>
      </c>
      <c r="Q80" s="919">
        <f t="shared" si="70"/>
        <v>0</v>
      </c>
      <c r="R80" s="919">
        <f t="shared" si="70"/>
        <v>0</v>
      </c>
      <c r="S80" s="919">
        <f t="shared" si="70"/>
        <v>0</v>
      </c>
      <c r="T80" s="919">
        <f t="shared" si="70"/>
        <v>0</v>
      </c>
      <c r="U80" s="919">
        <f t="shared" si="70"/>
        <v>0</v>
      </c>
      <c r="V80" s="919">
        <f t="shared" si="70"/>
        <v>0</v>
      </c>
      <c r="W80" s="919">
        <f t="shared" si="70"/>
        <v>0</v>
      </c>
      <c r="X80" s="919">
        <f t="shared" si="70"/>
        <v>0</v>
      </c>
      <c r="Y80" s="919">
        <f t="shared" si="70"/>
        <v>0</v>
      </c>
      <c r="Z80" s="919">
        <f t="shared" si="70"/>
        <v>0</v>
      </c>
      <c r="AA80" s="919">
        <f t="shared" si="70"/>
        <v>0</v>
      </c>
      <c r="AB80" s="919">
        <f t="shared" si="70"/>
        <v>0</v>
      </c>
      <c r="AC80" s="919">
        <f t="shared" si="70"/>
        <v>0</v>
      </c>
      <c r="AD80" s="919">
        <f t="shared" si="70"/>
        <v>0</v>
      </c>
      <c r="AE80" s="919">
        <f t="shared" si="70"/>
        <v>0</v>
      </c>
      <c r="AF80" s="919">
        <f t="shared" si="70"/>
        <v>0</v>
      </c>
      <c r="AG80" s="919">
        <f t="shared" si="70"/>
        <v>0</v>
      </c>
      <c r="AH80" s="919">
        <f t="shared" si="70"/>
        <v>0</v>
      </c>
      <c r="AI80" s="919">
        <f t="shared" si="70"/>
        <v>0</v>
      </c>
      <c r="AJ80" s="919">
        <f t="shared" si="70"/>
        <v>0</v>
      </c>
      <c r="AK80" s="919">
        <f t="shared" si="70"/>
        <v>0</v>
      </c>
      <c r="AL80" s="919">
        <f t="shared" si="70"/>
        <v>0</v>
      </c>
      <c r="AM80" s="919">
        <f t="shared" si="70"/>
        <v>0</v>
      </c>
      <c r="AN80" s="919">
        <f t="shared" si="70"/>
        <v>0</v>
      </c>
      <c r="AO80" s="919">
        <f t="shared" si="70"/>
        <v>0</v>
      </c>
      <c r="AP80" s="919">
        <f t="shared" si="70"/>
        <v>0</v>
      </c>
      <c r="AQ80" s="919">
        <f t="shared" si="70"/>
        <v>0</v>
      </c>
      <c r="AR80" s="919">
        <f t="shared" si="70"/>
        <v>0</v>
      </c>
      <c r="AS80" s="919">
        <f t="shared" si="70"/>
        <v>0</v>
      </c>
      <c r="AT80" s="919">
        <f t="shared" si="70"/>
        <v>0</v>
      </c>
      <c r="AU80" s="919">
        <f t="shared" si="70"/>
        <v>0</v>
      </c>
      <c r="AV80" s="919">
        <f t="shared" si="70"/>
        <v>0</v>
      </c>
      <c r="AW80" s="919">
        <f t="shared" si="70"/>
        <v>0</v>
      </c>
      <c r="AX80" s="919">
        <f t="shared" si="70"/>
        <v>0</v>
      </c>
      <c r="AY80" s="919">
        <f t="shared" si="70"/>
        <v>0</v>
      </c>
      <c r="AZ80" s="919">
        <f t="shared" si="70"/>
        <v>0</v>
      </c>
      <c r="BA80" s="919">
        <f t="shared" si="70"/>
        <v>0</v>
      </c>
      <c r="BB80" s="919">
        <f t="shared" si="70"/>
        <v>0</v>
      </c>
      <c r="BC80" s="919">
        <f t="shared" si="70"/>
        <v>0</v>
      </c>
      <c r="BD80" s="919">
        <f t="shared" si="70"/>
        <v>0</v>
      </c>
      <c r="BE80" s="919">
        <f t="shared" si="70"/>
        <v>0</v>
      </c>
      <c r="BF80" s="919">
        <f t="shared" si="70"/>
        <v>0</v>
      </c>
      <c r="BG80" s="919">
        <f t="shared" si="70"/>
        <v>0</v>
      </c>
      <c r="BH80" s="919">
        <f t="shared" si="70"/>
        <v>0</v>
      </c>
      <c r="BI80" s="919">
        <f t="shared" si="70"/>
        <v>0</v>
      </c>
      <c r="BJ80" s="919">
        <f t="shared" si="70"/>
        <v>0</v>
      </c>
      <c r="BK80" s="919">
        <f t="shared" si="70"/>
        <v>0</v>
      </c>
      <c r="BL80" s="919">
        <f t="shared" si="70"/>
        <v>0</v>
      </c>
      <c r="BM80" s="919">
        <f t="shared" si="70"/>
        <v>0</v>
      </c>
      <c r="BN80" s="919">
        <f t="shared" si="70"/>
        <v>0</v>
      </c>
      <c r="BO80" s="919">
        <f t="shared" si="70"/>
        <v>0</v>
      </c>
      <c r="BP80" s="919">
        <f t="shared" si="70"/>
        <v>0</v>
      </c>
      <c r="BQ80" s="919">
        <f t="shared" si="70"/>
        <v>0</v>
      </c>
      <c r="BR80" s="919">
        <f t="shared" si="70"/>
        <v>8255</v>
      </c>
      <c r="BS80" s="919">
        <f t="shared" si="70"/>
        <v>0</v>
      </c>
      <c r="BT80" s="919">
        <f t="shared" si="70"/>
        <v>8255</v>
      </c>
      <c r="BU80" s="919">
        <f t="shared" ref="BU80:CT80" si="71">SUM(BU78:BU79)</f>
        <v>0</v>
      </c>
      <c r="BV80" s="919">
        <f t="shared" si="71"/>
        <v>8255</v>
      </c>
      <c r="BW80" s="919">
        <f t="shared" si="71"/>
        <v>0</v>
      </c>
      <c r="BX80" s="919">
        <f t="shared" si="71"/>
        <v>0</v>
      </c>
      <c r="BY80" s="919">
        <f t="shared" si="71"/>
        <v>0</v>
      </c>
      <c r="BZ80" s="919">
        <f t="shared" si="71"/>
        <v>0</v>
      </c>
      <c r="CA80" s="919">
        <f t="shared" si="71"/>
        <v>0</v>
      </c>
      <c r="CB80" s="919">
        <f t="shared" si="71"/>
        <v>0</v>
      </c>
      <c r="CC80" s="919">
        <f t="shared" si="71"/>
        <v>0</v>
      </c>
      <c r="CD80" s="919">
        <f t="shared" si="71"/>
        <v>0</v>
      </c>
      <c r="CE80" s="919">
        <f t="shared" si="71"/>
        <v>0</v>
      </c>
      <c r="CF80" s="919">
        <f t="shared" si="71"/>
        <v>0</v>
      </c>
      <c r="CG80" s="919">
        <f t="shared" si="71"/>
        <v>0</v>
      </c>
      <c r="CH80" s="919">
        <f t="shared" si="71"/>
        <v>0</v>
      </c>
      <c r="CI80" s="919">
        <f t="shared" si="71"/>
        <v>0</v>
      </c>
      <c r="CJ80" s="919">
        <f t="shared" si="71"/>
        <v>0</v>
      </c>
      <c r="CK80" s="919">
        <f t="shared" si="71"/>
        <v>0</v>
      </c>
      <c r="CL80" s="919">
        <f t="shared" si="71"/>
        <v>0</v>
      </c>
      <c r="CM80" s="919">
        <f t="shared" si="71"/>
        <v>0</v>
      </c>
      <c r="CN80" s="919">
        <f t="shared" si="71"/>
        <v>0</v>
      </c>
      <c r="CO80" s="919">
        <f t="shared" si="71"/>
        <v>0</v>
      </c>
      <c r="CP80" s="919">
        <f t="shared" si="71"/>
        <v>0</v>
      </c>
      <c r="CQ80" s="919">
        <f t="shared" si="71"/>
        <v>0</v>
      </c>
      <c r="CR80" s="919">
        <f t="shared" si="71"/>
        <v>0</v>
      </c>
      <c r="CS80" s="919">
        <f t="shared" si="71"/>
        <v>0</v>
      </c>
      <c r="CT80" s="919">
        <f t="shared" si="71"/>
        <v>0</v>
      </c>
    </row>
    <row r="81" spans="2:98" ht="12" thickBot="1">
      <c r="B81" s="917" t="s">
        <v>909</v>
      </c>
      <c r="C81" s="923"/>
      <c r="D81" s="923"/>
      <c r="E81" s="952"/>
      <c r="F81" s="923"/>
      <c r="G81" s="953"/>
      <c r="H81" s="919">
        <f>SUM(H79:H80)</f>
        <v>1081422</v>
      </c>
      <c r="I81" s="923"/>
      <c r="J81" s="923"/>
      <c r="K81" s="952"/>
      <c r="L81" s="923"/>
      <c r="M81" s="953"/>
      <c r="N81" s="919">
        <f>SUM(N79:N80)</f>
        <v>1073167</v>
      </c>
      <c r="O81" s="923"/>
      <c r="P81" s="923"/>
      <c r="Q81" s="952"/>
      <c r="R81" s="923"/>
      <c r="S81" s="953"/>
      <c r="T81" s="919">
        <f>SUM(T79:T80)</f>
        <v>0</v>
      </c>
      <c r="U81" s="923"/>
      <c r="V81" s="923"/>
      <c r="W81" s="952"/>
      <c r="X81" s="923"/>
      <c r="Y81" s="953"/>
      <c r="Z81" s="919">
        <f>SUM(Z79:Z80)</f>
        <v>0</v>
      </c>
      <c r="AA81" s="923"/>
      <c r="AB81" s="923"/>
      <c r="AC81" s="952"/>
      <c r="AD81" s="923"/>
      <c r="AE81" s="953"/>
      <c r="AF81" s="919">
        <f>SUM(AF79:AF80)</f>
        <v>0</v>
      </c>
      <c r="AG81" s="923"/>
      <c r="AH81" s="923"/>
      <c r="AI81" s="952"/>
      <c r="AJ81" s="923"/>
      <c r="AK81" s="953"/>
      <c r="AL81" s="919">
        <f>SUM(AL79:AL80)</f>
        <v>0</v>
      </c>
      <c r="AM81" s="923"/>
      <c r="AN81" s="923"/>
      <c r="AO81" s="952"/>
      <c r="AP81" s="923"/>
      <c r="AQ81" s="953"/>
      <c r="AR81" s="919">
        <f>SUM(AR79:AR80)</f>
        <v>0</v>
      </c>
      <c r="AS81" s="923"/>
      <c r="AT81" s="923"/>
      <c r="AU81" s="952"/>
      <c r="AV81" s="923"/>
      <c r="AW81" s="953"/>
      <c r="AX81" s="919">
        <f>SUM(AX79:AX80)</f>
        <v>0</v>
      </c>
      <c r="AY81" s="923"/>
      <c r="AZ81" s="923"/>
      <c r="BA81" s="952"/>
      <c r="BB81" s="923"/>
      <c r="BC81" s="953"/>
      <c r="BD81" s="919">
        <f>SUM(BD79:BD80)</f>
        <v>0</v>
      </c>
      <c r="BE81" s="923"/>
      <c r="BF81" s="923"/>
      <c r="BG81" s="952"/>
      <c r="BH81" s="923"/>
      <c r="BI81" s="953"/>
      <c r="BJ81" s="919">
        <f>SUM(BJ79:BJ80)</f>
        <v>0</v>
      </c>
      <c r="BK81" s="923"/>
      <c r="BL81" s="923"/>
      <c r="BM81" s="952"/>
      <c r="BN81" s="923"/>
      <c r="BO81" s="953"/>
      <c r="BP81" s="919">
        <f>SUM(BP79:BP80)</f>
        <v>0</v>
      </c>
      <c r="BQ81" s="923"/>
      <c r="BR81" s="923"/>
      <c r="BS81" s="952"/>
      <c r="BT81" s="923"/>
      <c r="BU81" s="953"/>
      <c r="BV81" s="919">
        <f>SUM(BV79:BV80)</f>
        <v>8255</v>
      </c>
      <c r="BW81" s="923"/>
      <c r="BX81" s="923"/>
      <c r="BY81" s="952"/>
      <c r="BZ81" s="923"/>
      <c r="CA81" s="953"/>
      <c r="CB81" s="919">
        <f>SUM(CB79:CB80)</f>
        <v>0</v>
      </c>
      <c r="CC81" s="923"/>
      <c r="CD81" s="923"/>
      <c r="CE81" s="952"/>
      <c r="CF81" s="923"/>
      <c r="CG81" s="953"/>
      <c r="CH81" s="919">
        <f>SUM(CH79:CH80)</f>
        <v>0</v>
      </c>
      <c r="CI81" s="923"/>
      <c r="CJ81" s="923"/>
      <c r="CK81" s="952"/>
      <c r="CL81" s="923"/>
      <c r="CM81" s="953"/>
      <c r="CN81" s="919">
        <f>SUM(CN79:CN80)</f>
        <v>0</v>
      </c>
      <c r="CO81" s="923"/>
      <c r="CP81" s="923"/>
      <c r="CQ81" s="952"/>
      <c r="CR81" s="923"/>
      <c r="CS81" s="953"/>
      <c r="CT81" s="919">
        <f>SUM(CT79:CT80)</f>
        <v>0</v>
      </c>
    </row>
    <row r="83" spans="2:98">
      <c r="N83" s="885">
        <f>N72-N80</f>
        <v>1331835</v>
      </c>
      <c r="BV83" s="885">
        <f>BV72-BV81</f>
        <v>136231</v>
      </c>
    </row>
    <row r="84" spans="2:98" ht="19.5" customHeight="1"/>
    <row r="85" spans="2:98" ht="14.25" customHeight="1">
      <c r="B85" s="954" t="s">
        <v>701</v>
      </c>
    </row>
    <row r="86" spans="2:98" s="888" customFormat="1" ht="12" customHeight="1" thickBot="1">
      <c r="B86" s="884"/>
      <c r="C86" s="885"/>
      <c r="D86" s="885"/>
      <c r="E86" s="885"/>
      <c r="F86" s="885"/>
      <c r="G86" s="888" t="s">
        <v>699</v>
      </c>
      <c r="H86" s="885"/>
      <c r="I86" s="885"/>
      <c r="J86" s="885"/>
      <c r="K86" s="885"/>
      <c r="L86" s="885"/>
      <c r="M86" s="885"/>
      <c r="N86" s="885"/>
      <c r="O86" s="885"/>
      <c r="P86" s="885"/>
      <c r="Q86" s="885"/>
      <c r="R86" s="885"/>
      <c r="S86" s="885"/>
      <c r="T86" s="885"/>
      <c r="U86" s="885"/>
      <c r="V86" s="885"/>
      <c r="W86" s="885"/>
      <c r="X86" s="885"/>
      <c r="Y86" s="885"/>
      <c r="Z86" s="885"/>
      <c r="AA86" s="885"/>
      <c r="AB86" s="885"/>
      <c r="AC86" s="885"/>
      <c r="AD86" s="885"/>
      <c r="AE86" s="885"/>
      <c r="AF86" s="885"/>
      <c r="AG86" s="885"/>
      <c r="AH86" s="885"/>
      <c r="AI86" s="885"/>
      <c r="AJ86" s="885"/>
      <c r="AK86" s="885"/>
      <c r="AL86" s="885"/>
      <c r="AM86" s="885"/>
      <c r="AN86" s="885"/>
      <c r="AO86" s="885"/>
      <c r="AP86" s="885"/>
      <c r="AQ86" s="885"/>
      <c r="AR86" s="885"/>
      <c r="AS86" s="885"/>
      <c r="AT86" s="885"/>
      <c r="AU86" s="885"/>
      <c r="AV86" s="885"/>
      <c r="AW86" s="885"/>
      <c r="AX86" s="885"/>
      <c r="AY86" s="885"/>
      <c r="AZ86" s="885"/>
      <c r="BA86" s="885"/>
      <c r="BB86" s="885"/>
      <c r="BC86" s="885"/>
      <c r="BD86" s="885"/>
      <c r="BE86" s="885"/>
      <c r="BF86" s="886"/>
      <c r="BG86" s="885"/>
      <c r="BH86" s="885"/>
      <c r="BI86" s="885"/>
      <c r="BJ86" s="885"/>
      <c r="BK86" s="885"/>
      <c r="BL86" s="885"/>
      <c r="BM86" s="885"/>
      <c r="BN86" s="885"/>
      <c r="BO86" s="885"/>
      <c r="BP86" s="885"/>
      <c r="BQ86" s="885"/>
      <c r="BR86" s="885"/>
      <c r="BS86" s="885"/>
      <c r="BT86" s="885"/>
      <c r="BU86" s="885"/>
      <c r="BV86" s="885"/>
      <c r="BW86" s="885"/>
      <c r="BX86" s="885"/>
      <c r="BY86" s="885"/>
      <c r="BZ86" s="885"/>
      <c r="CA86" s="885"/>
      <c r="CB86" s="885"/>
      <c r="CC86" s="885"/>
      <c r="CD86" s="885"/>
      <c r="CE86" s="885"/>
      <c r="CF86" s="885"/>
      <c r="CG86" s="885"/>
      <c r="CH86" s="885"/>
      <c r="CI86" s="885"/>
      <c r="CJ86" s="885"/>
      <c r="CK86" s="885"/>
      <c r="CL86" s="885"/>
      <c r="CM86" s="885"/>
      <c r="CN86" s="885"/>
      <c r="CO86" s="885"/>
      <c r="CP86" s="885"/>
      <c r="CQ86" s="885"/>
      <c r="CR86" s="885"/>
      <c r="CS86" s="885"/>
      <c r="CT86" s="885"/>
    </row>
    <row r="87" spans="2:98" s="888" customFormat="1" ht="12" customHeight="1" thickBot="1">
      <c r="B87" s="884"/>
      <c r="C87" s="1614" t="s">
        <v>860</v>
      </c>
      <c r="D87" s="1615"/>
      <c r="E87" s="1615"/>
      <c r="F87" s="1615"/>
      <c r="G87" s="1615"/>
      <c r="H87" s="1616"/>
      <c r="I87" s="1617" t="s">
        <v>17</v>
      </c>
      <c r="J87" s="1618"/>
      <c r="K87" s="1618"/>
      <c r="L87" s="1618"/>
      <c r="M87" s="1618"/>
      <c r="N87" s="1619"/>
      <c r="O87" s="1614" t="s">
        <v>18</v>
      </c>
      <c r="P87" s="1615"/>
      <c r="Q87" s="1615"/>
      <c r="R87" s="1615"/>
      <c r="S87" s="1615"/>
      <c r="T87" s="1616"/>
      <c r="U87" s="1614" t="s">
        <v>19</v>
      </c>
      <c r="V87" s="1615"/>
      <c r="W87" s="1615"/>
      <c r="X87" s="1615"/>
      <c r="Y87" s="1615"/>
      <c r="Z87" s="1616"/>
      <c r="AA87" s="1614" t="s">
        <v>20</v>
      </c>
      <c r="AB87" s="1615"/>
      <c r="AC87" s="1615"/>
      <c r="AD87" s="1615"/>
      <c r="AE87" s="1615"/>
      <c r="AF87" s="1616"/>
      <c r="AG87" s="1614" t="s">
        <v>21</v>
      </c>
      <c r="AH87" s="1615"/>
      <c r="AI87" s="1615"/>
      <c r="AJ87" s="1615"/>
      <c r="AK87" s="1615"/>
      <c r="AL87" s="1616"/>
      <c r="AM87" s="1614" t="s">
        <v>22</v>
      </c>
      <c r="AN87" s="1615"/>
      <c r="AO87" s="1615"/>
      <c r="AP87" s="1615"/>
      <c r="AQ87" s="1615"/>
      <c r="AR87" s="1616"/>
      <c r="AS87" s="1617" t="s">
        <v>23</v>
      </c>
      <c r="AT87" s="1618"/>
      <c r="AU87" s="1618"/>
      <c r="AV87" s="1618"/>
      <c r="AW87" s="1618"/>
      <c r="AX87" s="1619"/>
      <c r="AY87" s="1614" t="s">
        <v>24</v>
      </c>
      <c r="AZ87" s="1615"/>
      <c r="BA87" s="1615"/>
      <c r="BB87" s="1615"/>
      <c r="BC87" s="1615"/>
      <c r="BD87" s="1616"/>
      <c r="BE87" s="1617" t="s">
        <v>25</v>
      </c>
      <c r="BF87" s="1618"/>
      <c r="BG87" s="1618"/>
      <c r="BH87" s="1618"/>
      <c r="BI87" s="1618"/>
      <c r="BJ87" s="1619"/>
      <c r="BK87" s="1614" t="s">
        <v>26</v>
      </c>
      <c r="BL87" s="1615"/>
      <c r="BM87" s="1615"/>
      <c r="BN87" s="1615"/>
      <c r="BO87" s="1615"/>
      <c r="BP87" s="1616"/>
      <c r="BQ87" s="1614" t="s">
        <v>27</v>
      </c>
      <c r="BR87" s="1615"/>
      <c r="BS87" s="1615"/>
      <c r="BT87" s="1615"/>
      <c r="BU87" s="1615"/>
      <c r="BV87" s="1616"/>
      <c r="BW87" s="1614" t="s">
        <v>28</v>
      </c>
      <c r="BX87" s="1615"/>
      <c r="BY87" s="1615"/>
      <c r="BZ87" s="1615"/>
      <c r="CA87" s="1615"/>
      <c r="CB87" s="1616"/>
      <c r="CC87" s="1614" t="s">
        <v>697</v>
      </c>
      <c r="CD87" s="1615"/>
      <c r="CE87" s="1615"/>
      <c r="CF87" s="1615"/>
      <c r="CG87" s="1615"/>
      <c r="CH87" s="1616"/>
      <c r="CI87" s="1614" t="s">
        <v>30</v>
      </c>
      <c r="CJ87" s="1615"/>
      <c r="CK87" s="1615"/>
      <c r="CL87" s="1615"/>
      <c r="CM87" s="1615"/>
      <c r="CN87" s="1616"/>
      <c r="CO87" s="1614" t="s">
        <v>31</v>
      </c>
      <c r="CP87" s="1615"/>
      <c r="CQ87" s="1615"/>
      <c r="CR87" s="1615"/>
      <c r="CS87" s="1615"/>
      <c r="CT87" s="1616"/>
    </row>
    <row r="88" spans="2:98" s="888" customFormat="1" ht="34.5" thickBot="1">
      <c r="B88" s="889" t="s">
        <v>905</v>
      </c>
      <c r="C88" s="895" t="s">
        <v>1306</v>
      </c>
      <c r="D88" s="891" t="s">
        <v>906</v>
      </c>
      <c r="E88" s="892" t="s">
        <v>908</v>
      </c>
      <c r="F88" s="891" t="s">
        <v>907</v>
      </c>
      <c r="G88" s="893" t="s">
        <v>1225</v>
      </c>
      <c r="H88" s="894"/>
      <c r="I88" s="895" t="s">
        <v>1306</v>
      </c>
      <c r="J88" s="891" t="s">
        <v>906</v>
      </c>
      <c r="K88" s="892" t="s">
        <v>908</v>
      </c>
      <c r="L88" s="891" t="s">
        <v>907</v>
      </c>
      <c r="M88" s="893" t="s">
        <v>1225</v>
      </c>
      <c r="N88" s="894"/>
      <c r="O88" s="895" t="s">
        <v>1306</v>
      </c>
      <c r="P88" s="891" t="s">
        <v>906</v>
      </c>
      <c r="Q88" s="892" t="s">
        <v>908</v>
      </c>
      <c r="R88" s="891" t="s">
        <v>907</v>
      </c>
      <c r="S88" s="893" t="s">
        <v>1225</v>
      </c>
      <c r="T88" s="894"/>
      <c r="U88" s="895" t="s">
        <v>1306</v>
      </c>
      <c r="V88" s="891" t="s">
        <v>906</v>
      </c>
      <c r="W88" s="892" t="s">
        <v>908</v>
      </c>
      <c r="X88" s="891" t="s">
        <v>907</v>
      </c>
      <c r="Y88" s="893" t="s">
        <v>1225</v>
      </c>
      <c r="Z88" s="894"/>
      <c r="AA88" s="895" t="s">
        <v>1306</v>
      </c>
      <c r="AB88" s="891" t="s">
        <v>906</v>
      </c>
      <c r="AC88" s="892" t="s">
        <v>908</v>
      </c>
      <c r="AD88" s="891" t="s">
        <v>907</v>
      </c>
      <c r="AE88" s="893" t="s">
        <v>1225</v>
      </c>
      <c r="AF88" s="894"/>
      <c r="AG88" s="895" t="s">
        <v>1306</v>
      </c>
      <c r="AH88" s="891" t="s">
        <v>906</v>
      </c>
      <c r="AI88" s="892" t="s">
        <v>908</v>
      </c>
      <c r="AJ88" s="891" t="s">
        <v>907</v>
      </c>
      <c r="AK88" s="893" t="s">
        <v>1225</v>
      </c>
      <c r="AL88" s="894"/>
      <c r="AM88" s="895" t="s">
        <v>1306</v>
      </c>
      <c r="AN88" s="891" t="s">
        <v>906</v>
      </c>
      <c r="AO88" s="892" t="s">
        <v>908</v>
      </c>
      <c r="AP88" s="891" t="s">
        <v>907</v>
      </c>
      <c r="AQ88" s="893" t="s">
        <v>1225</v>
      </c>
      <c r="AR88" s="894"/>
      <c r="AS88" s="895" t="s">
        <v>1306</v>
      </c>
      <c r="AT88" s="891" t="s">
        <v>906</v>
      </c>
      <c r="AU88" s="892" t="s">
        <v>908</v>
      </c>
      <c r="AV88" s="891" t="s">
        <v>907</v>
      </c>
      <c r="AW88" s="893" t="s">
        <v>1225</v>
      </c>
      <c r="AX88" s="894"/>
      <c r="AY88" s="895" t="s">
        <v>1306</v>
      </c>
      <c r="AZ88" s="891" t="s">
        <v>906</v>
      </c>
      <c r="BA88" s="892" t="s">
        <v>908</v>
      </c>
      <c r="BB88" s="891" t="s">
        <v>907</v>
      </c>
      <c r="BC88" s="893" t="s">
        <v>1225</v>
      </c>
      <c r="BD88" s="894"/>
      <c r="BE88" s="895" t="s">
        <v>1306</v>
      </c>
      <c r="BF88" s="896" t="s">
        <v>906</v>
      </c>
      <c r="BG88" s="892" t="s">
        <v>908</v>
      </c>
      <c r="BH88" s="891" t="s">
        <v>907</v>
      </c>
      <c r="BI88" s="893" t="s">
        <v>1225</v>
      </c>
      <c r="BJ88" s="894"/>
      <c r="BK88" s="895" t="s">
        <v>1306</v>
      </c>
      <c r="BL88" s="891" t="s">
        <v>906</v>
      </c>
      <c r="BM88" s="892" t="s">
        <v>908</v>
      </c>
      <c r="BN88" s="891" t="s">
        <v>907</v>
      </c>
      <c r="BO88" s="893" t="s">
        <v>1225</v>
      </c>
      <c r="BP88" s="894"/>
      <c r="BQ88" s="895" t="s">
        <v>1306</v>
      </c>
      <c r="BR88" s="891" t="s">
        <v>906</v>
      </c>
      <c r="BS88" s="892" t="s">
        <v>908</v>
      </c>
      <c r="BT88" s="891" t="s">
        <v>907</v>
      </c>
      <c r="BU88" s="893" t="s">
        <v>1225</v>
      </c>
      <c r="BV88" s="894"/>
      <c r="BW88" s="895" t="s">
        <v>1306</v>
      </c>
      <c r="BX88" s="891" t="s">
        <v>906</v>
      </c>
      <c r="BY88" s="892" t="s">
        <v>908</v>
      </c>
      <c r="BZ88" s="891" t="s">
        <v>907</v>
      </c>
      <c r="CA88" s="893" t="s">
        <v>1225</v>
      </c>
      <c r="CB88" s="894"/>
      <c r="CC88" s="895" t="s">
        <v>1306</v>
      </c>
      <c r="CD88" s="891" t="s">
        <v>906</v>
      </c>
      <c r="CE88" s="892" t="s">
        <v>908</v>
      </c>
      <c r="CF88" s="891" t="s">
        <v>907</v>
      </c>
      <c r="CG88" s="893" t="s">
        <v>1225</v>
      </c>
      <c r="CH88" s="894"/>
      <c r="CI88" s="895" t="s">
        <v>1306</v>
      </c>
      <c r="CJ88" s="891" t="s">
        <v>906</v>
      </c>
      <c r="CK88" s="892" t="s">
        <v>908</v>
      </c>
      <c r="CL88" s="891" t="s">
        <v>907</v>
      </c>
      <c r="CM88" s="893" t="s">
        <v>1225</v>
      </c>
      <c r="CN88" s="894"/>
      <c r="CO88" s="895" t="s">
        <v>1306</v>
      </c>
      <c r="CP88" s="891" t="s">
        <v>906</v>
      </c>
      <c r="CQ88" s="892" t="s">
        <v>908</v>
      </c>
      <c r="CR88" s="891" t="s">
        <v>907</v>
      </c>
      <c r="CS88" s="893" t="s">
        <v>1225</v>
      </c>
      <c r="CT88" s="894"/>
    </row>
    <row r="89" spans="2:98" s="888" customFormat="1">
      <c r="B89" s="911" t="s">
        <v>912</v>
      </c>
      <c r="C89" s="900"/>
      <c r="D89" s="900"/>
      <c r="E89" s="900"/>
      <c r="F89" s="900"/>
      <c r="G89" s="906"/>
      <c r="H89" s="900"/>
      <c r="I89" s="900"/>
      <c r="J89" s="907"/>
      <c r="K89" s="908"/>
      <c r="L89" s="907"/>
      <c r="M89" s="906">
        <f t="shared" ref="M89:M95" si="72">+I89+J89+K89-L89</f>
        <v>0</v>
      </c>
      <c r="N89" s="900"/>
      <c r="O89" s="900"/>
      <c r="P89" s="907"/>
      <c r="Q89" s="908"/>
      <c r="R89" s="907"/>
      <c r="S89" s="906">
        <f t="shared" ref="S89:S95" si="73">+O89+P89+Q89-R89</f>
        <v>0</v>
      </c>
      <c r="T89" s="900"/>
      <c r="U89" s="900"/>
      <c r="V89" s="907"/>
      <c r="W89" s="908"/>
      <c r="X89" s="907"/>
      <c r="Y89" s="906">
        <f t="shared" ref="Y89:Y95" si="74">+U89+V89+W89-X89</f>
        <v>0</v>
      </c>
      <c r="Z89" s="900"/>
      <c r="AA89" s="900"/>
      <c r="AB89" s="907"/>
      <c r="AC89" s="908"/>
      <c r="AD89" s="907"/>
      <c r="AE89" s="906">
        <f t="shared" ref="AE89:AE95" si="75">+AA89+AB89+AC89-AD89</f>
        <v>0</v>
      </c>
      <c r="AF89" s="900"/>
      <c r="AG89" s="900"/>
      <c r="AH89" s="907"/>
      <c r="AI89" s="908"/>
      <c r="AJ89" s="907"/>
      <c r="AK89" s="906">
        <f t="shared" ref="AK89:AK95" si="76">+AG89+AH89+AI89-AJ89</f>
        <v>0</v>
      </c>
      <c r="AL89" s="900"/>
      <c r="AM89" s="900"/>
      <c r="AN89" s="907"/>
      <c r="AO89" s="908"/>
      <c r="AP89" s="907"/>
      <c r="AQ89" s="906">
        <f t="shared" ref="AQ89:AQ95" si="77">+AM89+AN89+AO89-AP89</f>
        <v>0</v>
      </c>
      <c r="AR89" s="900"/>
      <c r="AS89" s="900"/>
      <c r="AT89" s="907"/>
      <c r="AU89" s="908"/>
      <c r="AV89" s="907"/>
      <c r="AW89" s="906">
        <f t="shared" ref="AW89:AW95" si="78">+AS89+AT89+AU89-AV89</f>
        <v>0</v>
      </c>
      <c r="AX89" s="900"/>
      <c r="AY89" s="900"/>
      <c r="AZ89" s="907"/>
      <c r="BA89" s="908"/>
      <c r="BB89" s="907"/>
      <c r="BC89" s="906">
        <f t="shared" ref="BC89:BC95" si="79">+AY89+AZ89+BA89-BB89</f>
        <v>0</v>
      </c>
      <c r="BD89" s="900"/>
      <c r="BE89" s="900"/>
      <c r="BF89" s="909"/>
      <c r="BG89" s="908"/>
      <c r="BH89" s="907"/>
      <c r="BI89" s="906">
        <f t="shared" ref="BI89:BI95" si="80">+BE89+BF89+BG89-BH89</f>
        <v>0</v>
      </c>
      <c r="BJ89" s="900"/>
      <c r="BK89" s="900"/>
      <c r="BL89" s="907"/>
      <c r="BM89" s="908"/>
      <c r="BN89" s="907"/>
      <c r="BO89" s="906">
        <f t="shared" ref="BO89:BO95" si="81">+BK89+BL89+BM89-BN89</f>
        <v>0</v>
      </c>
      <c r="BP89" s="900"/>
      <c r="BQ89" s="900"/>
      <c r="BR89" s="907"/>
      <c r="BS89" s="908"/>
      <c r="BT89" s="907"/>
      <c r="BU89" s="906">
        <f t="shared" ref="BU89:BU95" si="82">+BQ89+BR89+BS89-BT89</f>
        <v>0</v>
      </c>
      <c r="BV89" s="900"/>
      <c r="BW89" s="900"/>
      <c r="BX89" s="907"/>
      <c r="BY89" s="908"/>
      <c r="BZ89" s="907"/>
      <c r="CA89" s="906">
        <f t="shared" ref="CA89:CA95" si="83">+BW89+BX89+BY89-BZ89</f>
        <v>0</v>
      </c>
      <c r="CB89" s="900"/>
      <c r="CC89" s="900"/>
      <c r="CD89" s="907"/>
      <c r="CE89" s="908"/>
      <c r="CF89" s="907"/>
      <c r="CG89" s="906">
        <f t="shared" ref="CG89:CG95" si="84">+CC89+CD89+CE89-CF89</f>
        <v>0</v>
      </c>
      <c r="CH89" s="900"/>
      <c r="CI89" s="900"/>
      <c r="CJ89" s="907"/>
      <c r="CK89" s="908"/>
      <c r="CL89" s="907"/>
      <c r="CM89" s="906">
        <f t="shared" ref="CM89:CM95" si="85">+CI89+CJ89+CK89-CL89</f>
        <v>0</v>
      </c>
      <c r="CN89" s="900"/>
      <c r="CO89" s="900"/>
      <c r="CP89" s="907"/>
      <c r="CQ89" s="908"/>
      <c r="CR89" s="907"/>
      <c r="CS89" s="906">
        <f t="shared" ref="CS89:CS95" si="86">+CO89+CP89+CQ89-CR89</f>
        <v>0</v>
      </c>
      <c r="CT89" s="900"/>
    </row>
    <row r="90" spans="2:98" s="888" customFormat="1">
      <c r="B90" s="905" t="s">
        <v>412</v>
      </c>
      <c r="C90" s="900">
        <f t="shared" ref="C90:C95" si="87">I90+O90+U90+AA90+AG90+AM90+AS90+AY90+BE90+BK90+BQ90+BW90+CC90+CI90+CO90</f>
        <v>6709384</v>
      </c>
      <c r="D90" s="900">
        <f t="shared" ref="D90:E93" si="88">J90+P90+V90+AB90+AH90+AN90+AT90+AZ90+BF90+BL90+BS90+BX90+CD90+CJ90+CP90</f>
        <v>0</v>
      </c>
      <c r="E90" s="900">
        <f t="shared" si="88"/>
        <v>0</v>
      </c>
      <c r="F90" s="900">
        <f t="shared" ref="F90:F95" si="89">L90+R90+X90+AD90+AJ90+AP90+AV90+BB90+BH90+BN90+BT90+BZ90+CF90+CL90+CR90</f>
        <v>0</v>
      </c>
      <c r="G90" s="906">
        <f t="shared" ref="G90:G95" si="90">+C90+D90+E90-F90</f>
        <v>6709384</v>
      </c>
      <c r="H90" s="900"/>
      <c r="I90" s="900"/>
      <c r="J90" s="907"/>
      <c r="K90" s="908"/>
      <c r="L90" s="907"/>
      <c r="M90" s="906">
        <f t="shared" si="72"/>
        <v>0</v>
      </c>
      <c r="N90" s="900"/>
      <c r="O90" s="900"/>
      <c r="P90" s="907"/>
      <c r="Q90" s="908"/>
      <c r="R90" s="907"/>
      <c r="S90" s="906">
        <f t="shared" si="73"/>
        <v>0</v>
      </c>
      <c r="T90" s="900"/>
      <c r="U90" s="900"/>
      <c r="V90" s="907"/>
      <c r="W90" s="908"/>
      <c r="X90" s="907"/>
      <c r="Y90" s="906">
        <f t="shared" si="74"/>
        <v>0</v>
      </c>
      <c r="Z90" s="900"/>
      <c r="AA90" s="900"/>
      <c r="AB90" s="907"/>
      <c r="AC90" s="908"/>
      <c r="AD90" s="907"/>
      <c r="AE90" s="906">
        <f t="shared" si="75"/>
        <v>0</v>
      </c>
      <c r="AF90" s="900"/>
      <c r="AG90" s="900"/>
      <c r="AH90" s="907"/>
      <c r="AI90" s="908"/>
      <c r="AJ90" s="907"/>
      <c r="AK90" s="906">
        <f t="shared" si="76"/>
        <v>0</v>
      </c>
      <c r="AL90" s="900"/>
      <c r="AM90" s="900"/>
      <c r="AN90" s="907"/>
      <c r="AO90" s="908"/>
      <c r="AP90" s="907"/>
      <c r="AQ90" s="906">
        <f t="shared" si="77"/>
        <v>0</v>
      </c>
      <c r="AR90" s="900"/>
      <c r="AS90" s="900"/>
      <c r="AT90" s="907"/>
      <c r="AU90" s="908"/>
      <c r="AV90" s="907"/>
      <c r="AW90" s="906">
        <f t="shared" si="78"/>
        <v>0</v>
      </c>
      <c r="AX90" s="900"/>
      <c r="AY90" s="900"/>
      <c r="AZ90" s="907"/>
      <c r="BA90" s="908"/>
      <c r="BB90" s="907"/>
      <c r="BC90" s="906">
        <f t="shared" si="79"/>
        <v>0</v>
      </c>
      <c r="BD90" s="900"/>
      <c r="BE90" s="900"/>
      <c r="BF90" s="909"/>
      <c r="BG90" s="908"/>
      <c r="BH90" s="907"/>
      <c r="BI90" s="906">
        <f t="shared" si="80"/>
        <v>0</v>
      </c>
      <c r="BJ90" s="900"/>
      <c r="BK90" s="900"/>
      <c r="BL90" s="907"/>
      <c r="BM90" s="908"/>
      <c r="BN90" s="907"/>
      <c r="BO90" s="906">
        <f t="shared" si="81"/>
        <v>0</v>
      </c>
      <c r="BP90" s="900"/>
      <c r="BQ90" s="900"/>
      <c r="BR90" s="907"/>
      <c r="BS90" s="908"/>
      <c r="BT90" s="907"/>
      <c r="BU90" s="906">
        <f t="shared" si="82"/>
        <v>0</v>
      </c>
      <c r="BV90" s="900"/>
      <c r="BW90" s="900"/>
      <c r="BX90" s="907"/>
      <c r="BY90" s="908"/>
      <c r="BZ90" s="907"/>
      <c r="CA90" s="906">
        <f t="shared" si="83"/>
        <v>0</v>
      </c>
      <c r="CB90" s="900"/>
      <c r="CC90" s="900"/>
      <c r="CD90" s="907"/>
      <c r="CE90" s="908"/>
      <c r="CF90" s="907"/>
      <c r="CG90" s="906">
        <f t="shared" si="84"/>
        <v>0</v>
      </c>
      <c r="CH90" s="900"/>
      <c r="CI90" s="900"/>
      <c r="CJ90" s="907"/>
      <c r="CK90" s="908"/>
      <c r="CL90" s="907"/>
      <c r="CM90" s="906">
        <f t="shared" si="85"/>
        <v>0</v>
      </c>
      <c r="CN90" s="900"/>
      <c r="CO90" s="900">
        <v>6709384</v>
      </c>
      <c r="CP90" s="907"/>
      <c r="CQ90" s="908"/>
      <c r="CR90" s="907"/>
      <c r="CS90" s="906">
        <f t="shared" si="86"/>
        <v>6709384</v>
      </c>
      <c r="CT90" s="900"/>
    </row>
    <row r="91" spans="2:98" s="888" customFormat="1">
      <c r="B91" s="905" t="s">
        <v>398</v>
      </c>
      <c r="C91" s="900">
        <f t="shared" si="87"/>
        <v>6701477</v>
      </c>
      <c r="D91" s="900">
        <f t="shared" si="88"/>
        <v>0</v>
      </c>
      <c r="E91" s="900">
        <f t="shared" si="88"/>
        <v>0</v>
      </c>
      <c r="F91" s="900">
        <f t="shared" si="89"/>
        <v>0</v>
      </c>
      <c r="G91" s="906">
        <f t="shared" si="90"/>
        <v>6701477</v>
      </c>
      <c r="H91" s="900"/>
      <c r="I91" s="900"/>
      <c r="J91" s="907"/>
      <c r="K91" s="908"/>
      <c r="L91" s="907"/>
      <c r="M91" s="906">
        <f t="shared" si="72"/>
        <v>0</v>
      </c>
      <c r="N91" s="900"/>
      <c r="O91" s="900"/>
      <c r="P91" s="907"/>
      <c r="Q91" s="908"/>
      <c r="R91" s="907"/>
      <c r="S91" s="906">
        <f t="shared" si="73"/>
        <v>0</v>
      </c>
      <c r="T91" s="900"/>
      <c r="U91" s="900"/>
      <c r="V91" s="907"/>
      <c r="W91" s="908"/>
      <c r="X91" s="907"/>
      <c r="Y91" s="906">
        <f t="shared" si="74"/>
        <v>0</v>
      </c>
      <c r="Z91" s="900"/>
      <c r="AA91" s="900"/>
      <c r="AB91" s="907"/>
      <c r="AC91" s="908"/>
      <c r="AD91" s="907"/>
      <c r="AE91" s="906">
        <f t="shared" si="75"/>
        <v>0</v>
      </c>
      <c r="AF91" s="900"/>
      <c r="AG91" s="900"/>
      <c r="AH91" s="907"/>
      <c r="AI91" s="908"/>
      <c r="AJ91" s="907"/>
      <c r="AK91" s="906">
        <f t="shared" si="76"/>
        <v>0</v>
      </c>
      <c r="AL91" s="900"/>
      <c r="AM91" s="900"/>
      <c r="AN91" s="907"/>
      <c r="AO91" s="908"/>
      <c r="AP91" s="907"/>
      <c r="AQ91" s="906">
        <f t="shared" si="77"/>
        <v>0</v>
      </c>
      <c r="AR91" s="900"/>
      <c r="AS91" s="900"/>
      <c r="AT91" s="907"/>
      <c r="AU91" s="908"/>
      <c r="AV91" s="907"/>
      <c r="AW91" s="906">
        <f t="shared" si="78"/>
        <v>0</v>
      </c>
      <c r="AX91" s="900"/>
      <c r="AY91" s="900"/>
      <c r="AZ91" s="907"/>
      <c r="BA91" s="908"/>
      <c r="BB91" s="907"/>
      <c r="BC91" s="906">
        <f t="shared" si="79"/>
        <v>0</v>
      </c>
      <c r="BD91" s="900"/>
      <c r="BE91" s="900"/>
      <c r="BF91" s="909"/>
      <c r="BG91" s="908"/>
      <c r="BH91" s="907"/>
      <c r="BI91" s="906">
        <f t="shared" si="80"/>
        <v>0</v>
      </c>
      <c r="BJ91" s="900"/>
      <c r="BK91" s="900"/>
      <c r="BL91" s="907"/>
      <c r="BM91" s="908"/>
      <c r="BN91" s="907"/>
      <c r="BO91" s="906">
        <f t="shared" si="81"/>
        <v>0</v>
      </c>
      <c r="BP91" s="900"/>
      <c r="BQ91" s="900"/>
      <c r="BR91" s="907"/>
      <c r="BS91" s="908"/>
      <c r="BT91" s="907"/>
      <c r="BU91" s="906">
        <f t="shared" si="82"/>
        <v>0</v>
      </c>
      <c r="BV91" s="900"/>
      <c r="BW91" s="900"/>
      <c r="BX91" s="907"/>
      <c r="BY91" s="908"/>
      <c r="BZ91" s="907"/>
      <c r="CA91" s="906">
        <f t="shared" si="83"/>
        <v>0</v>
      </c>
      <c r="CB91" s="900"/>
      <c r="CC91" s="900"/>
      <c r="CD91" s="907"/>
      <c r="CE91" s="908"/>
      <c r="CF91" s="907"/>
      <c r="CG91" s="906">
        <f t="shared" si="84"/>
        <v>0</v>
      </c>
      <c r="CH91" s="900"/>
      <c r="CI91" s="900"/>
      <c r="CJ91" s="907"/>
      <c r="CK91" s="908"/>
      <c r="CL91" s="907"/>
      <c r="CM91" s="906">
        <f t="shared" si="85"/>
        <v>0</v>
      </c>
      <c r="CN91" s="900"/>
      <c r="CO91" s="900">
        <v>6701477</v>
      </c>
      <c r="CP91" s="907"/>
      <c r="CQ91" s="908"/>
      <c r="CR91" s="907"/>
      <c r="CS91" s="906">
        <f t="shared" si="86"/>
        <v>6701477</v>
      </c>
      <c r="CT91" s="900"/>
    </row>
    <row r="92" spans="2:98" s="888" customFormat="1">
      <c r="B92" s="905" t="s">
        <v>399</v>
      </c>
      <c r="C92" s="900">
        <f t="shared" si="87"/>
        <v>474499</v>
      </c>
      <c r="D92" s="900">
        <f t="shared" si="88"/>
        <v>0</v>
      </c>
      <c r="E92" s="900">
        <f t="shared" si="88"/>
        <v>0</v>
      </c>
      <c r="F92" s="900">
        <f t="shared" si="89"/>
        <v>0</v>
      </c>
      <c r="G92" s="906">
        <f t="shared" si="90"/>
        <v>474499</v>
      </c>
      <c r="H92" s="900"/>
      <c r="I92" s="900"/>
      <c r="J92" s="907"/>
      <c r="K92" s="908"/>
      <c r="L92" s="907"/>
      <c r="M92" s="906">
        <f t="shared" si="72"/>
        <v>0</v>
      </c>
      <c r="N92" s="900"/>
      <c r="O92" s="900"/>
      <c r="P92" s="907"/>
      <c r="Q92" s="908"/>
      <c r="R92" s="907"/>
      <c r="S92" s="906">
        <f t="shared" si="73"/>
        <v>0</v>
      </c>
      <c r="T92" s="900"/>
      <c r="U92" s="900"/>
      <c r="V92" s="907"/>
      <c r="W92" s="908"/>
      <c r="X92" s="907"/>
      <c r="Y92" s="906">
        <f t="shared" si="74"/>
        <v>0</v>
      </c>
      <c r="Z92" s="900"/>
      <c r="AA92" s="900"/>
      <c r="AB92" s="907"/>
      <c r="AC92" s="908"/>
      <c r="AD92" s="907"/>
      <c r="AE92" s="906">
        <f t="shared" si="75"/>
        <v>0</v>
      </c>
      <c r="AF92" s="900"/>
      <c r="AG92" s="900"/>
      <c r="AH92" s="907"/>
      <c r="AI92" s="908"/>
      <c r="AJ92" s="907"/>
      <c r="AK92" s="906">
        <f t="shared" si="76"/>
        <v>0</v>
      </c>
      <c r="AL92" s="900"/>
      <c r="AM92" s="900"/>
      <c r="AN92" s="907"/>
      <c r="AO92" s="908"/>
      <c r="AP92" s="907"/>
      <c r="AQ92" s="906">
        <f t="shared" si="77"/>
        <v>0</v>
      </c>
      <c r="AR92" s="900"/>
      <c r="AS92" s="900"/>
      <c r="AT92" s="907"/>
      <c r="AU92" s="908"/>
      <c r="AV92" s="907"/>
      <c r="AW92" s="906">
        <f t="shared" si="78"/>
        <v>0</v>
      </c>
      <c r="AX92" s="900"/>
      <c r="AY92" s="900"/>
      <c r="AZ92" s="907"/>
      <c r="BA92" s="908"/>
      <c r="BB92" s="907"/>
      <c r="BC92" s="906">
        <f t="shared" si="79"/>
        <v>0</v>
      </c>
      <c r="BD92" s="900"/>
      <c r="BE92" s="900"/>
      <c r="BF92" s="909"/>
      <c r="BG92" s="908"/>
      <c r="BH92" s="907"/>
      <c r="BI92" s="906">
        <f t="shared" si="80"/>
        <v>0</v>
      </c>
      <c r="BJ92" s="900"/>
      <c r="BK92" s="900"/>
      <c r="BL92" s="907"/>
      <c r="BM92" s="908"/>
      <c r="BN92" s="907"/>
      <c r="BO92" s="906">
        <f t="shared" si="81"/>
        <v>0</v>
      </c>
      <c r="BP92" s="900"/>
      <c r="BQ92" s="900"/>
      <c r="BR92" s="907"/>
      <c r="BS92" s="908"/>
      <c r="BT92" s="907"/>
      <c r="BU92" s="906">
        <f t="shared" si="82"/>
        <v>0</v>
      </c>
      <c r="BV92" s="900"/>
      <c r="BW92" s="900"/>
      <c r="BX92" s="907"/>
      <c r="BY92" s="908"/>
      <c r="BZ92" s="907"/>
      <c r="CA92" s="906">
        <f t="shared" si="83"/>
        <v>0</v>
      </c>
      <c r="CB92" s="900"/>
      <c r="CC92" s="900"/>
      <c r="CD92" s="907"/>
      <c r="CE92" s="908"/>
      <c r="CF92" s="907"/>
      <c r="CG92" s="906">
        <f t="shared" si="84"/>
        <v>0</v>
      </c>
      <c r="CH92" s="900"/>
      <c r="CI92" s="900"/>
      <c r="CJ92" s="907"/>
      <c r="CK92" s="908"/>
      <c r="CL92" s="907"/>
      <c r="CM92" s="906">
        <f t="shared" si="85"/>
        <v>0</v>
      </c>
      <c r="CN92" s="900"/>
      <c r="CO92" s="900">
        <v>474499</v>
      </c>
      <c r="CP92" s="907"/>
      <c r="CQ92" s="908"/>
      <c r="CR92" s="907"/>
      <c r="CS92" s="906">
        <f t="shared" si="86"/>
        <v>474499</v>
      </c>
      <c r="CT92" s="900"/>
    </row>
    <row r="93" spans="2:98" s="888" customFormat="1">
      <c r="B93" s="911" t="s">
        <v>1312</v>
      </c>
      <c r="C93" s="900">
        <f t="shared" si="87"/>
        <v>0</v>
      </c>
      <c r="D93" s="900">
        <f t="shared" si="88"/>
        <v>49045</v>
      </c>
      <c r="E93" s="900">
        <f t="shared" si="88"/>
        <v>0</v>
      </c>
      <c r="F93" s="900">
        <f t="shared" si="89"/>
        <v>0</v>
      </c>
      <c r="G93" s="906">
        <f t="shared" si="90"/>
        <v>49045</v>
      </c>
      <c r="H93" s="900"/>
      <c r="I93" s="900"/>
      <c r="J93" s="907"/>
      <c r="K93" s="908"/>
      <c r="L93" s="907"/>
      <c r="M93" s="906">
        <f t="shared" si="72"/>
        <v>0</v>
      </c>
      <c r="N93" s="900"/>
      <c r="O93" s="900"/>
      <c r="P93" s="907"/>
      <c r="Q93" s="908"/>
      <c r="R93" s="907"/>
      <c r="S93" s="906">
        <f t="shared" si="73"/>
        <v>0</v>
      </c>
      <c r="T93" s="900"/>
      <c r="U93" s="900"/>
      <c r="V93" s="907"/>
      <c r="W93" s="908"/>
      <c r="X93" s="907"/>
      <c r="Y93" s="906">
        <f t="shared" si="74"/>
        <v>0</v>
      </c>
      <c r="Z93" s="900"/>
      <c r="AA93" s="900"/>
      <c r="AB93" s="907"/>
      <c r="AC93" s="908"/>
      <c r="AD93" s="907"/>
      <c r="AE93" s="906">
        <f t="shared" si="75"/>
        <v>0</v>
      </c>
      <c r="AF93" s="900"/>
      <c r="AG93" s="900"/>
      <c r="AH93" s="907"/>
      <c r="AI93" s="908"/>
      <c r="AJ93" s="907"/>
      <c r="AK93" s="906">
        <f t="shared" si="76"/>
        <v>0</v>
      </c>
      <c r="AL93" s="900"/>
      <c r="AM93" s="900"/>
      <c r="AN93" s="907"/>
      <c r="AO93" s="908"/>
      <c r="AP93" s="907"/>
      <c r="AQ93" s="906">
        <f t="shared" si="77"/>
        <v>0</v>
      </c>
      <c r="AR93" s="900"/>
      <c r="AS93" s="900"/>
      <c r="AT93" s="907"/>
      <c r="AU93" s="908"/>
      <c r="AV93" s="907"/>
      <c r="AW93" s="906">
        <f t="shared" si="78"/>
        <v>0</v>
      </c>
      <c r="AX93" s="900"/>
      <c r="AY93" s="900"/>
      <c r="AZ93" s="907"/>
      <c r="BA93" s="908"/>
      <c r="BB93" s="907"/>
      <c r="BC93" s="906">
        <f t="shared" si="79"/>
        <v>0</v>
      </c>
      <c r="BD93" s="900"/>
      <c r="BE93" s="900"/>
      <c r="BF93" s="909"/>
      <c r="BG93" s="908"/>
      <c r="BH93" s="907"/>
      <c r="BI93" s="906">
        <f>+BE93+BF93-BG93-BH93</f>
        <v>0</v>
      </c>
      <c r="BJ93" s="900"/>
      <c r="BK93" s="900"/>
      <c r="BL93" s="907">
        <v>49045</v>
      </c>
      <c r="BM93" s="908"/>
      <c r="BN93" s="907"/>
      <c r="BO93" s="906">
        <f t="shared" si="81"/>
        <v>49045</v>
      </c>
      <c r="BP93" s="900"/>
      <c r="BQ93" s="900"/>
      <c r="BR93" s="907"/>
      <c r="BS93" s="908"/>
      <c r="BT93" s="907"/>
      <c r="BU93" s="906">
        <f t="shared" si="82"/>
        <v>0</v>
      </c>
      <c r="BV93" s="900"/>
      <c r="BW93" s="900"/>
      <c r="BX93" s="907"/>
      <c r="BY93" s="908"/>
      <c r="BZ93" s="907"/>
      <c r="CA93" s="906">
        <f t="shared" si="83"/>
        <v>0</v>
      </c>
      <c r="CB93" s="900"/>
      <c r="CC93" s="900"/>
      <c r="CD93" s="907"/>
      <c r="CE93" s="908"/>
      <c r="CF93" s="907"/>
      <c r="CG93" s="906">
        <f t="shared" si="84"/>
        <v>0</v>
      </c>
      <c r="CH93" s="900"/>
      <c r="CI93" s="900"/>
      <c r="CJ93" s="907"/>
      <c r="CK93" s="908"/>
      <c r="CL93" s="907"/>
      <c r="CM93" s="906">
        <f t="shared" si="85"/>
        <v>0</v>
      </c>
      <c r="CN93" s="900"/>
      <c r="CO93" s="900"/>
      <c r="CP93" s="907"/>
      <c r="CQ93" s="908"/>
      <c r="CR93" s="907"/>
      <c r="CS93" s="906">
        <f t="shared" si="86"/>
        <v>0</v>
      </c>
      <c r="CT93" s="900"/>
    </row>
    <row r="94" spans="2:98" s="888" customFormat="1">
      <c r="B94" s="911" t="s">
        <v>913</v>
      </c>
      <c r="C94" s="900">
        <f t="shared" si="87"/>
        <v>13803388</v>
      </c>
      <c r="D94" s="900">
        <f>J94+P94+V94+AB94+AH94+AN94+AT94+AZ94+BF94+BL94+BS94+BX94+CD94+CJ94+CP94</f>
        <v>0</v>
      </c>
      <c r="E94" s="955">
        <f>K94+Q94+W94+AC94+AI94+AO94+AU94+BA94+BG94+BM94+BT94+BY94+CE94+CK94+CQ94</f>
        <v>0</v>
      </c>
      <c r="F94" s="900">
        <f t="shared" si="89"/>
        <v>0</v>
      </c>
      <c r="G94" s="906">
        <f t="shared" si="90"/>
        <v>13803388</v>
      </c>
      <c r="H94" s="900"/>
      <c r="I94" s="900"/>
      <c r="J94" s="907"/>
      <c r="K94" s="908"/>
      <c r="L94" s="907"/>
      <c r="M94" s="906">
        <f t="shared" si="72"/>
        <v>0</v>
      </c>
      <c r="N94" s="900"/>
      <c r="O94" s="900"/>
      <c r="P94" s="907"/>
      <c r="Q94" s="956"/>
      <c r="R94" s="909"/>
      <c r="S94" s="906">
        <f t="shared" si="73"/>
        <v>0</v>
      </c>
      <c r="T94" s="900"/>
      <c r="U94" s="900"/>
      <c r="V94" s="907"/>
      <c r="W94" s="908"/>
      <c r="X94" s="907"/>
      <c r="Y94" s="906">
        <f t="shared" si="74"/>
        <v>0</v>
      </c>
      <c r="Z94" s="900"/>
      <c r="AA94" s="900"/>
      <c r="AB94" s="907"/>
      <c r="AC94" s="908"/>
      <c r="AD94" s="907"/>
      <c r="AE94" s="906">
        <f t="shared" si="75"/>
        <v>0</v>
      </c>
      <c r="AF94" s="900"/>
      <c r="AG94" s="900"/>
      <c r="AH94" s="907"/>
      <c r="AI94" s="908"/>
      <c r="AJ94" s="907"/>
      <c r="AK94" s="906">
        <f t="shared" si="76"/>
        <v>0</v>
      </c>
      <c r="AL94" s="900"/>
      <c r="AM94" s="900"/>
      <c r="AN94" s="907"/>
      <c r="AO94" s="908"/>
      <c r="AP94" s="907"/>
      <c r="AQ94" s="906">
        <f t="shared" si="77"/>
        <v>0</v>
      </c>
      <c r="AR94" s="900"/>
      <c r="AS94" s="900"/>
      <c r="AT94" s="907"/>
      <c r="AU94" s="908"/>
      <c r="AV94" s="907"/>
      <c r="AW94" s="906">
        <f t="shared" si="78"/>
        <v>0</v>
      </c>
      <c r="AX94" s="900"/>
      <c r="AY94" s="900"/>
      <c r="AZ94" s="907"/>
      <c r="BA94" s="908"/>
      <c r="BB94" s="907"/>
      <c r="BC94" s="906">
        <f t="shared" si="79"/>
        <v>0</v>
      </c>
      <c r="BD94" s="900"/>
      <c r="BE94" s="900"/>
      <c r="BF94" s="909"/>
      <c r="BG94" s="908"/>
      <c r="BH94" s="907"/>
      <c r="BI94" s="906">
        <f t="shared" si="80"/>
        <v>0</v>
      </c>
      <c r="BJ94" s="900"/>
      <c r="BK94" s="900"/>
      <c r="BL94" s="907"/>
      <c r="BM94" s="908"/>
      <c r="BN94" s="907"/>
      <c r="BO94" s="906">
        <f t="shared" si="81"/>
        <v>0</v>
      </c>
      <c r="BP94" s="900"/>
      <c r="BQ94" s="900"/>
      <c r="BR94" s="907"/>
      <c r="BS94" s="908"/>
      <c r="BT94" s="907"/>
      <c r="BU94" s="906">
        <f t="shared" si="82"/>
        <v>0</v>
      </c>
      <c r="BV94" s="900"/>
      <c r="BW94" s="900"/>
      <c r="BX94" s="907"/>
      <c r="BY94" s="908"/>
      <c r="BZ94" s="907"/>
      <c r="CA94" s="906">
        <f t="shared" si="83"/>
        <v>0</v>
      </c>
      <c r="CB94" s="900"/>
      <c r="CC94" s="900"/>
      <c r="CD94" s="907"/>
      <c r="CE94" s="956"/>
      <c r="CF94" s="907"/>
      <c r="CG94" s="906">
        <f t="shared" si="84"/>
        <v>0</v>
      </c>
      <c r="CH94" s="900"/>
      <c r="CI94" s="900"/>
      <c r="CJ94" s="907"/>
      <c r="CK94" s="908"/>
      <c r="CL94" s="907"/>
      <c r="CM94" s="906">
        <f t="shared" si="85"/>
        <v>0</v>
      </c>
      <c r="CN94" s="900"/>
      <c r="CO94" s="900">
        <v>13803388</v>
      </c>
      <c r="CP94" s="907"/>
      <c r="CQ94" s="908"/>
      <c r="CR94" s="907"/>
      <c r="CS94" s="906">
        <f t="shared" si="86"/>
        <v>13803388</v>
      </c>
      <c r="CT94" s="900"/>
    </row>
    <row r="95" spans="2:98" s="888" customFormat="1">
      <c r="B95" s="957" t="s">
        <v>1313</v>
      </c>
      <c r="C95" s="900">
        <f t="shared" si="87"/>
        <v>65433228</v>
      </c>
      <c r="D95" s="900">
        <f>J95+P95+V95+AB95+AH95+AN95+AT95+AZ95+BF95+BL95+BS95+BX95+CD95+CJ95+CP95</f>
        <v>360000</v>
      </c>
      <c r="E95" s="955">
        <f>K95+Q95+W95+AC95+AI95+AO95+AU95+BA95+BG95+BM95+BT95+BY95+CE95+CK95+CQ95</f>
        <v>0</v>
      </c>
      <c r="F95" s="900">
        <f t="shared" si="89"/>
        <v>65793228</v>
      </c>
      <c r="G95" s="906">
        <f t="shared" si="90"/>
        <v>0</v>
      </c>
      <c r="H95" s="900"/>
      <c r="I95" s="900">
        <v>65433228</v>
      </c>
      <c r="J95" s="907">
        <v>360000</v>
      </c>
      <c r="K95" s="908"/>
      <c r="L95" s="907">
        <v>65793228</v>
      </c>
      <c r="M95" s="906">
        <f t="shared" si="72"/>
        <v>0</v>
      </c>
      <c r="N95" s="900"/>
      <c r="O95" s="900"/>
      <c r="P95" s="907"/>
      <c r="Q95" s="958"/>
      <c r="R95" s="907"/>
      <c r="S95" s="906">
        <f t="shared" si="73"/>
        <v>0</v>
      </c>
      <c r="T95" s="900"/>
      <c r="U95" s="900"/>
      <c r="V95" s="907"/>
      <c r="W95" s="908"/>
      <c r="X95" s="907"/>
      <c r="Y95" s="906">
        <f t="shared" si="74"/>
        <v>0</v>
      </c>
      <c r="Z95" s="900"/>
      <c r="AA95" s="900"/>
      <c r="AB95" s="907"/>
      <c r="AC95" s="908"/>
      <c r="AD95" s="907"/>
      <c r="AE95" s="906">
        <f t="shared" si="75"/>
        <v>0</v>
      </c>
      <c r="AF95" s="900"/>
      <c r="AG95" s="900"/>
      <c r="AH95" s="907"/>
      <c r="AI95" s="908"/>
      <c r="AJ95" s="907"/>
      <c r="AK95" s="906">
        <f t="shared" si="76"/>
        <v>0</v>
      </c>
      <c r="AL95" s="900"/>
      <c r="AM95" s="900"/>
      <c r="AN95" s="907"/>
      <c r="AO95" s="908"/>
      <c r="AP95" s="907"/>
      <c r="AQ95" s="906">
        <f t="shared" si="77"/>
        <v>0</v>
      </c>
      <c r="AR95" s="900"/>
      <c r="AS95" s="900"/>
      <c r="AT95" s="907"/>
      <c r="AU95" s="908"/>
      <c r="AV95" s="907"/>
      <c r="AW95" s="906">
        <f t="shared" si="78"/>
        <v>0</v>
      </c>
      <c r="AX95" s="900"/>
      <c r="AY95" s="900"/>
      <c r="AZ95" s="907"/>
      <c r="BA95" s="908"/>
      <c r="BB95" s="907"/>
      <c r="BC95" s="906">
        <f t="shared" si="79"/>
        <v>0</v>
      </c>
      <c r="BD95" s="900"/>
      <c r="BE95" s="900"/>
      <c r="BF95" s="909"/>
      <c r="BG95" s="908"/>
      <c r="BH95" s="907"/>
      <c r="BI95" s="906">
        <f t="shared" si="80"/>
        <v>0</v>
      </c>
      <c r="BJ95" s="900"/>
      <c r="BK95" s="900"/>
      <c r="BL95" s="907"/>
      <c r="BM95" s="908"/>
      <c r="BN95" s="907"/>
      <c r="BO95" s="906">
        <f t="shared" si="81"/>
        <v>0</v>
      </c>
      <c r="BP95" s="900"/>
      <c r="BQ95" s="900"/>
      <c r="BR95" s="907"/>
      <c r="BS95" s="908"/>
      <c r="BT95" s="907"/>
      <c r="BU95" s="906">
        <f t="shared" si="82"/>
        <v>0</v>
      </c>
      <c r="BV95" s="900"/>
      <c r="BW95" s="900"/>
      <c r="BX95" s="907"/>
      <c r="BY95" s="908"/>
      <c r="BZ95" s="907"/>
      <c r="CA95" s="906">
        <f t="shared" si="83"/>
        <v>0</v>
      </c>
      <c r="CB95" s="900"/>
      <c r="CC95" s="900"/>
      <c r="CD95" s="907"/>
      <c r="CE95" s="908"/>
      <c r="CF95" s="907"/>
      <c r="CG95" s="906">
        <f t="shared" si="84"/>
        <v>0</v>
      </c>
      <c r="CH95" s="900"/>
      <c r="CI95" s="900"/>
      <c r="CJ95" s="907"/>
      <c r="CK95" s="908"/>
      <c r="CL95" s="907"/>
      <c r="CM95" s="906">
        <f t="shared" si="85"/>
        <v>0</v>
      </c>
      <c r="CN95" s="900"/>
      <c r="CO95" s="900"/>
      <c r="CP95" s="907"/>
      <c r="CQ95" s="908"/>
      <c r="CR95" s="907"/>
      <c r="CS95" s="906">
        <f t="shared" si="86"/>
        <v>0</v>
      </c>
      <c r="CT95" s="900"/>
    </row>
    <row r="96" spans="2:98" s="888" customFormat="1">
      <c r="B96" s="897"/>
      <c r="C96" s="900"/>
      <c r="D96" s="900"/>
      <c r="E96" s="900"/>
      <c r="F96" s="900"/>
      <c r="G96" s="906"/>
      <c r="H96" s="900"/>
      <c r="I96" s="900"/>
      <c r="J96" s="907"/>
      <c r="K96" s="908"/>
      <c r="L96" s="907"/>
      <c r="M96" s="906">
        <f>+I96+J96+K96-L96</f>
        <v>0</v>
      </c>
      <c r="N96" s="900"/>
      <c r="O96" s="900"/>
      <c r="P96" s="907"/>
      <c r="Q96" s="958"/>
      <c r="R96" s="907"/>
      <c r="S96" s="906">
        <f>+O96+P96+Q96-R96</f>
        <v>0</v>
      </c>
      <c r="T96" s="900"/>
      <c r="U96" s="900"/>
      <c r="V96" s="907"/>
      <c r="W96" s="908"/>
      <c r="X96" s="907"/>
      <c r="Y96" s="906">
        <f>+U96+V96+W96-X96</f>
        <v>0</v>
      </c>
      <c r="Z96" s="900"/>
      <c r="AA96" s="900"/>
      <c r="AB96" s="907"/>
      <c r="AC96" s="908"/>
      <c r="AD96" s="907"/>
      <c r="AE96" s="906">
        <f>+AA96+AB96+AC96-AD96</f>
        <v>0</v>
      </c>
      <c r="AF96" s="900"/>
      <c r="AG96" s="900"/>
      <c r="AH96" s="907"/>
      <c r="AI96" s="908"/>
      <c r="AJ96" s="907"/>
      <c r="AK96" s="906">
        <f>+AG96+AH96+AI96-AJ96</f>
        <v>0</v>
      </c>
      <c r="AL96" s="900"/>
      <c r="AM96" s="900"/>
      <c r="AN96" s="907"/>
      <c r="AO96" s="908"/>
      <c r="AP96" s="907"/>
      <c r="AQ96" s="906">
        <f>+AM96+AN96+AO96-AP96</f>
        <v>0</v>
      </c>
      <c r="AR96" s="900"/>
      <c r="AS96" s="900"/>
      <c r="AT96" s="907"/>
      <c r="AU96" s="908"/>
      <c r="AV96" s="907"/>
      <c r="AW96" s="906">
        <f>+AS96+AT96+AU96-AV96</f>
        <v>0</v>
      </c>
      <c r="AX96" s="900"/>
      <c r="AY96" s="900"/>
      <c r="AZ96" s="907"/>
      <c r="BA96" s="908"/>
      <c r="BB96" s="907"/>
      <c r="BC96" s="906">
        <f>+AY96+AZ96+BA96-BB96</f>
        <v>0</v>
      </c>
      <c r="BD96" s="900"/>
      <c r="BE96" s="900"/>
      <c r="BF96" s="909"/>
      <c r="BG96" s="908"/>
      <c r="BH96" s="907"/>
      <c r="BI96" s="906">
        <f>+BE96+BF96+BG96-BH96</f>
        <v>0</v>
      </c>
      <c r="BJ96" s="900"/>
      <c r="BK96" s="900"/>
      <c r="BL96" s="907"/>
      <c r="BM96" s="908"/>
      <c r="BN96" s="907"/>
      <c r="BO96" s="906">
        <f>+BK96+BL96+BM96-BN96</f>
        <v>0</v>
      </c>
      <c r="BP96" s="900"/>
      <c r="BQ96" s="900"/>
      <c r="BR96" s="907"/>
      <c r="BS96" s="908"/>
      <c r="BT96" s="907"/>
      <c r="BU96" s="906">
        <f>+BQ96+BR96+BS96-BT96</f>
        <v>0</v>
      </c>
      <c r="BV96" s="900"/>
      <c r="BW96" s="900"/>
      <c r="BX96" s="907"/>
      <c r="BY96" s="908"/>
      <c r="BZ96" s="907"/>
      <c r="CA96" s="906">
        <f>+BW96+BX96+BY96-BZ96</f>
        <v>0</v>
      </c>
      <c r="CB96" s="900"/>
      <c r="CC96" s="900"/>
      <c r="CD96" s="907"/>
      <c r="CE96" s="908"/>
      <c r="CF96" s="907"/>
      <c r="CG96" s="906">
        <f>+CC96+CD96+CE96-CF96</f>
        <v>0</v>
      </c>
      <c r="CH96" s="900"/>
      <c r="CI96" s="900"/>
      <c r="CJ96" s="907"/>
      <c r="CK96" s="908"/>
      <c r="CL96" s="907"/>
      <c r="CM96" s="906">
        <f>+CI96+CJ96+CK96-CL96</f>
        <v>0</v>
      </c>
      <c r="CN96" s="900"/>
      <c r="CO96" s="900"/>
      <c r="CP96" s="907"/>
      <c r="CQ96" s="908"/>
      <c r="CR96" s="907"/>
      <c r="CS96" s="906">
        <f>+CO96+CP96+CQ96-CR96</f>
        <v>0</v>
      </c>
      <c r="CT96" s="900"/>
    </row>
    <row r="97" spans="2:98" s="888" customFormat="1" ht="12" thickBot="1">
      <c r="B97" s="959"/>
      <c r="C97" s="900"/>
      <c r="D97" s="900"/>
      <c r="E97" s="900"/>
      <c r="F97" s="900"/>
      <c r="G97" s="906"/>
      <c r="H97" s="900"/>
      <c r="I97" s="900"/>
      <c r="J97" s="907"/>
      <c r="K97" s="908"/>
      <c r="L97" s="907"/>
      <c r="M97" s="906"/>
      <c r="N97" s="900"/>
      <c r="O97" s="900"/>
      <c r="P97" s="907"/>
      <c r="Q97" s="958"/>
      <c r="R97" s="907"/>
      <c r="S97" s="906"/>
      <c r="T97" s="900"/>
      <c r="U97" s="900"/>
      <c r="V97" s="907"/>
      <c r="W97" s="908"/>
      <c r="X97" s="907"/>
      <c r="Y97" s="906"/>
      <c r="Z97" s="900"/>
      <c r="AA97" s="900"/>
      <c r="AB97" s="907"/>
      <c r="AC97" s="908"/>
      <c r="AD97" s="907"/>
      <c r="AE97" s="906"/>
      <c r="AF97" s="900"/>
      <c r="AG97" s="900"/>
      <c r="AH97" s="907"/>
      <c r="AI97" s="908"/>
      <c r="AJ97" s="907"/>
      <c r="AK97" s="906"/>
      <c r="AL97" s="900"/>
      <c r="AM97" s="900"/>
      <c r="AN97" s="907"/>
      <c r="AO97" s="908"/>
      <c r="AP97" s="907"/>
      <c r="AQ97" s="906"/>
      <c r="AR97" s="900"/>
      <c r="AS97" s="900"/>
      <c r="AT97" s="907"/>
      <c r="AU97" s="908"/>
      <c r="AV97" s="907"/>
      <c r="AW97" s="906"/>
      <c r="AX97" s="900"/>
      <c r="AY97" s="900"/>
      <c r="AZ97" s="907"/>
      <c r="BA97" s="908"/>
      <c r="BB97" s="907"/>
      <c r="BC97" s="906"/>
      <c r="BD97" s="900"/>
      <c r="BE97" s="900"/>
      <c r="BF97" s="909"/>
      <c r="BG97" s="908"/>
      <c r="BH97" s="907"/>
      <c r="BI97" s="906"/>
      <c r="BJ97" s="900"/>
      <c r="BK97" s="900"/>
      <c r="BL97" s="907"/>
      <c r="BM97" s="908"/>
      <c r="BN97" s="907"/>
      <c r="BO97" s="906"/>
      <c r="BP97" s="900"/>
      <c r="BQ97" s="900"/>
      <c r="BR97" s="907"/>
      <c r="BS97" s="908"/>
      <c r="BT97" s="907"/>
      <c r="BU97" s="906"/>
      <c r="BV97" s="900"/>
      <c r="BW97" s="900"/>
      <c r="BX97" s="907"/>
      <c r="BY97" s="908"/>
      <c r="BZ97" s="907"/>
      <c r="CA97" s="906"/>
      <c r="CB97" s="900"/>
      <c r="CC97" s="900"/>
      <c r="CD97" s="907"/>
      <c r="CE97" s="908"/>
      <c r="CF97" s="907"/>
      <c r="CG97" s="906"/>
      <c r="CH97" s="900"/>
      <c r="CI97" s="900"/>
      <c r="CJ97" s="907"/>
      <c r="CK97" s="908"/>
      <c r="CL97" s="907"/>
      <c r="CM97" s="906"/>
      <c r="CN97" s="900"/>
      <c r="CO97" s="900"/>
      <c r="CP97" s="907"/>
      <c r="CQ97" s="908"/>
      <c r="CR97" s="907"/>
      <c r="CS97" s="906"/>
      <c r="CT97" s="900"/>
    </row>
    <row r="98" spans="2:98" s="888" customFormat="1" ht="12" thickBot="1">
      <c r="B98" s="917" t="s">
        <v>806</v>
      </c>
      <c r="C98" s="894">
        <f>SUM(C89:C97)</f>
        <v>93121976</v>
      </c>
      <c r="D98" s="894">
        <f>SUM(D89:D97)</f>
        <v>409045</v>
      </c>
      <c r="E98" s="960">
        <f>SUM(E89:E97)</f>
        <v>0</v>
      </c>
      <c r="F98" s="894">
        <f>SUM(F89:F97)</f>
        <v>65793228</v>
      </c>
      <c r="G98" s="894">
        <f>SUM(G89:G97)</f>
        <v>27737793</v>
      </c>
      <c r="H98" s="898"/>
      <c r="I98" s="894">
        <f>SUM(I89:I97)</f>
        <v>65433228</v>
      </c>
      <c r="J98" s="894">
        <f>SUM(J89:J97)</f>
        <v>360000</v>
      </c>
      <c r="K98" s="894">
        <f>SUM(K89:K97)</f>
        <v>0</v>
      </c>
      <c r="L98" s="894">
        <f>SUM(L89:L97)</f>
        <v>65793228</v>
      </c>
      <c r="M98" s="894">
        <f>SUM(M89:M97)</f>
        <v>0</v>
      </c>
      <c r="N98" s="898"/>
      <c r="O98" s="894">
        <f>SUM(O89:O97)</f>
        <v>0</v>
      </c>
      <c r="P98" s="894">
        <f>SUM(P89:P97)</f>
        <v>0</v>
      </c>
      <c r="Q98" s="960">
        <f>SUM(Q89:Q97)</f>
        <v>0</v>
      </c>
      <c r="R98" s="894">
        <f>SUM(R89:R97)</f>
        <v>0</v>
      </c>
      <c r="S98" s="918">
        <f>+O98+P98+Q98-R98</f>
        <v>0</v>
      </c>
      <c r="T98" s="898"/>
      <c r="U98" s="894">
        <f>SUM(U89:U97)</f>
        <v>0</v>
      </c>
      <c r="V98" s="894">
        <f>SUM(V89:V97)</f>
        <v>0</v>
      </c>
      <c r="W98" s="894">
        <f>SUM(W89:W97)</f>
        <v>0</v>
      </c>
      <c r="X98" s="894">
        <f>SUM(X89:X97)</f>
        <v>0</v>
      </c>
      <c r="Y98" s="918">
        <f>+U98+V98+W98-X98</f>
        <v>0</v>
      </c>
      <c r="Z98" s="898"/>
      <c r="AA98" s="894">
        <f>SUM(AA89:AA97)</f>
        <v>0</v>
      </c>
      <c r="AB98" s="894">
        <f>SUM(AB89:AB97)</f>
        <v>0</v>
      </c>
      <c r="AC98" s="894">
        <f>SUM(AC89:AC97)</f>
        <v>0</v>
      </c>
      <c r="AD98" s="894">
        <f>SUM(AD89:AD97)</f>
        <v>0</v>
      </c>
      <c r="AE98" s="918">
        <f>+AA98+AB98+AC98-AD98</f>
        <v>0</v>
      </c>
      <c r="AF98" s="898"/>
      <c r="AG98" s="894">
        <f>SUM(AG89:AG97)</f>
        <v>0</v>
      </c>
      <c r="AH98" s="894">
        <f>SUM(AH89:AH97)</f>
        <v>0</v>
      </c>
      <c r="AI98" s="894">
        <f>SUM(AI89:AI97)</f>
        <v>0</v>
      </c>
      <c r="AJ98" s="894">
        <f>SUM(AJ89:AJ97)</f>
        <v>0</v>
      </c>
      <c r="AK98" s="918">
        <f>+AG98+AH98+AI98-AJ98</f>
        <v>0</v>
      </c>
      <c r="AL98" s="898"/>
      <c r="AM98" s="894">
        <f>SUM(AM89:AM97)</f>
        <v>0</v>
      </c>
      <c r="AN98" s="894">
        <f>SUM(AN89:AN97)</f>
        <v>0</v>
      </c>
      <c r="AO98" s="894">
        <f>SUM(AO89:AO97)</f>
        <v>0</v>
      </c>
      <c r="AP98" s="894">
        <f>SUM(AP89:AP97)</f>
        <v>0</v>
      </c>
      <c r="AQ98" s="918">
        <f>+AM98+AN98+AO98-AP98</f>
        <v>0</v>
      </c>
      <c r="AR98" s="898"/>
      <c r="AS98" s="894">
        <f>SUM(AS89:AS97)</f>
        <v>0</v>
      </c>
      <c r="AT98" s="894">
        <f>SUM(AT89:AT97)</f>
        <v>0</v>
      </c>
      <c r="AU98" s="894">
        <f>SUM(AU89:AU97)</f>
        <v>0</v>
      </c>
      <c r="AV98" s="894">
        <f>SUM(AV89:AV97)</f>
        <v>0</v>
      </c>
      <c r="AW98" s="918">
        <f>+AS98+AT98+AU98-AV98</f>
        <v>0</v>
      </c>
      <c r="AX98" s="898"/>
      <c r="AY98" s="894">
        <f>SUM(AY89:AY97)</f>
        <v>0</v>
      </c>
      <c r="AZ98" s="894">
        <f>SUM(AZ89:AZ97)</f>
        <v>0</v>
      </c>
      <c r="BA98" s="894">
        <f>SUM(BA89:BA97)</f>
        <v>0</v>
      </c>
      <c r="BB98" s="894">
        <f>SUM(BB89:BB97)</f>
        <v>0</v>
      </c>
      <c r="BC98" s="918">
        <f>+AY98+AZ98+BA98-BB98</f>
        <v>0</v>
      </c>
      <c r="BD98" s="898"/>
      <c r="BE98" s="894">
        <f>SUM(BE89:BE97)</f>
        <v>0</v>
      </c>
      <c r="BF98" s="919">
        <f>SUM(BF89:BF97)</f>
        <v>0</v>
      </c>
      <c r="BG98" s="894">
        <f>SUM(BG89:BG97)</f>
        <v>0</v>
      </c>
      <c r="BH98" s="894">
        <f>SUM(BH89:BH97)</f>
        <v>0</v>
      </c>
      <c r="BI98" s="918">
        <f>+BE98+BF98+BG98-BH98</f>
        <v>0</v>
      </c>
      <c r="BJ98" s="898"/>
      <c r="BK98" s="894">
        <f>SUM(BK89:BK97)</f>
        <v>0</v>
      </c>
      <c r="BL98" s="894">
        <f>SUM(BL89:BL97)</f>
        <v>49045</v>
      </c>
      <c r="BM98" s="894">
        <f>SUM(BM89:BM97)</f>
        <v>0</v>
      </c>
      <c r="BN98" s="894">
        <f>SUM(BN89:BN97)</f>
        <v>0</v>
      </c>
      <c r="BO98" s="918">
        <f>+BK98+BL98+BM98-BN98</f>
        <v>49045</v>
      </c>
      <c r="BP98" s="898"/>
      <c r="BQ98" s="894">
        <f>SUM(BQ89:BQ97)</f>
        <v>0</v>
      </c>
      <c r="BR98" s="894">
        <f>SUM(BR89:BR97)</f>
        <v>0</v>
      </c>
      <c r="BS98" s="894">
        <f>SUM(BS89:BS97)</f>
        <v>0</v>
      </c>
      <c r="BT98" s="894">
        <f>SUM(BT89:BT97)</f>
        <v>0</v>
      </c>
      <c r="BU98" s="918">
        <f>+BQ98+BR98+BS98-BT98</f>
        <v>0</v>
      </c>
      <c r="BV98" s="898"/>
      <c r="BW98" s="894">
        <f>SUM(BW89:BW97)</f>
        <v>0</v>
      </c>
      <c r="BX98" s="894">
        <f>SUM(BX89:BX97)</f>
        <v>0</v>
      </c>
      <c r="BY98" s="894">
        <f>SUM(BY89:BY97)</f>
        <v>0</v>
      </c>
      <c r="BZ98" s="894">
        <f>SUM(BZ89:BZ97)</f>
        <v>0</v>
      </c>
      <c r="CA98" s="918">
        <f>+BW98+BX98+BY98-BZ98</f>
        <v>0</v>
      </c>
      <c r="CB98" s="898"/>
      <c r="CC98" s="894">
        <f>SUM(CC89:CC97)</f>
        <v>0</v>
      </c>
      <c r="CD98" s="894">
        <f>SUM(CD89:CD97)</f>
        <v>0</v>
      </c>
      <c r="CE98" s="894">
        <f>SUM(CE89:CE97)</f>
        <v>0</v>
      </c>
      <c r="CF98" s="894">
        <f>SUM(CF89:CF97)</f>
        <v>0</v>
      </c>
      <c r="CG98" s="918">
        <f>+CC98+CD98+CE98-CF98</f>
        <v>0</v>
      </c>
      <c r="CH98" s="898"/>
      <c r="CI98" s="894">
        <f>SUM(CI89:CI97)</f>
        <v>0</v>
      </c>
      <c r="CJ98" s="894">
        <f>SUM(CJ89:CJ97)</f>
        <v>0</v>
      </c>
      <c r="CK98" s="894">
        <f>SUM(CK89:CK97)</f>
        <v>0</v>
      </c>
      <c r="CL98" s="894">
        <f>SUM(CL89:CL97)</f>
        <v>0</v>
      </c>
      <c r="CM98" s="918">
        <f>+CI98+CJ98+CK98-CL98</f>
        <v>0</v>
      </c>
      <c r="CN98" s="898"/>
      <c r="CO98" s="894">
        <f>SUM(CO89:CO97)</f>
        <v>27688748</v>
      </c>
      <c r="CP98" s="894">
        <f>SUM(CP89:CP97)</f>
        <v>0</v>
      </c>
      <c r="CQ98" s="894">
        <f>SUM(CQ89:CQ97)</f>
        <v>0</v>
      </c>
      <c r="CR98" s="894">
        <f>SUM(CR89:CR97)</f>
        <v>0</v>
      </c>
      <c r="CS98" s="918">
        <f>+CO98+CP98+CQ98-CR98</f>
        <v>27688748</v>
      </c>
      <c r="CT98" s="898"/>
    </row>
    <row r="99" spans="2:98" s="888" customFormat="1" ht="12" thickBot="1">
      <c r="B99" s="920" t="s">
        <v>909</v>
      </c>
      <c r="C99" s="921"/>
      <c r="D99" s="921"/>
      <c r="E99" s="922"/>
      <c r="F99" s="921"/>
      <c r="G99" s="918">
        <f>+C99+D99+E99-F99</f>
        <v>0</v>
      </c>
      <c r="H99" s="894"/>
      <c r="I99" s="921"/>
      <c r="J99" s="921"/>
      <c r="K99" s="922"/>
      <c r="L99" s="921"/>
      <c r="M99" s="918">
        <f>+I99+J99+K99-L99</f>
        <v>0</v>
      </c>
      <c r="N99" s="894"/>
      <c r="O99" s="921"/>
      <c r="P99" s="921"/>
      <c r="Q99" s="922"/>
      <c r="R99" s="921"/>
      <c r="S99" s="918">
        <f>+O99+P99+Q99-R99</f>
        <v>0</v>
      </c>
      <c r="T99" s="894"/>
      <c r="U99" s="921"/>
      <c r="V99" s="921"/>
      <c r="W99" s="922"/>
      <c r="X99" s="921"/>
      <c r="Y99" s="918">
        <f>+U99+V99+W99-X99</f>
        <v>0</v>
      </c>
      <c r="Z99" s="894"/>
      <c r="AA99" s="921"/>
      <c r="AB99" s="921"/>
      <c r="AC99" s="922"/>
      <c r="AD99" s="921"/>
      <c r="AE99" s="918">
        <f>+AA99+AB99+AC99-AD99</f>
        <v>0</v>
      </c>
      <c r="AF99" s="894"/>
      <c r="AG99" s="921"/>
      <c r="AH99" s="921"/>
      <c r="AI99" s="922"/>
      <c r="AJ99" s="921"/>
      <c r="AK99" s="918">
        <f>+AG99+AH99+AI99-AJ99</f>
        <v>0</v>
      </c>
      <c r="AL99" s="894"/>
      <c r="AM99" s="921"/>
      <c r="AN99" s="921"/>
      <c r="AO99" s="922"/>
      <c r="AP99" s="921"/>
      <c r="AQ99" s="918">
        <f>+AM99+AN99+AO99-AP99</f>
        <v>0</v>
      </c>
      <c r="AR99" s="894"/>
      <c r="AS99" s="921"/>
      <c r="AT99" s="921"/>
      <c r="AU99" s="922"/>
      <c r="AV99" s="921"/>
      <c r="AW99" s="918">
        <f>+AS99+AT99+AU99-AV99</f>
        <v>0</v>
      </c>
      <c r="AX99" s="894"/>
      <c r="AY99" s="921"/>
      <c r="AZ99" s="921"/>
      <c r="BA99" s="922"/>
      <c r="BB99" s="921"/>
      <c r="BC99" s="918">
        <f>+AY99+AZ99+BA99-BB99</f>
        <v>0</v>
      </c>
      <c r="BD99" s="894"/>
      <c r="BE99" s="921"/>
      <c r="BF99" s="923"/>
      <c r="BG99" s="922"/>
      <c r="BH99" s="921"/>
      <c r="BI99" s="918">
        <f>+BE99+BF99+BG99-BH99</f>
        <v>0</v>
      </c>
      <c r="BJ99" s="894"/>
      <c r="BK99" s="921"/>
      <c r="BL99" s="921"/>
      <c r="BM99" s="922"/>
      <c r="BN99" s="921"/>
      <c r="BO99" s="918">
        <f>+BK99+BL99+BM99-BN99</f>
        <v>0</v>
      </c>
      <c r="BP99" s="894"/>
      <c r="BQ99" s="921"/>
      <c r="BR99" s="921"/>
      <c r="BS99" s="922"/>
      <c r="BT99" s="921"/>
      <c r="BU99" s="918">
        <f>+BQ99+BR99+BS99-BT99</f>
        <v>0</v>
      </c>
      <c r="BV99" s="894"/>
      <c r="BW99" s="921"/>
      <c r="BX99" s="921"/>
      <c r="BY99" s="922"/>
      <c r="BZ99" s="921"/>
      <c r="CA99" s="918">
        <f>+BW99+BX99+BY99-BZ99</f>
        <v>0</v>
      </c>
      <c r="CB99" s="894"/>
      <c r="CC99" s="921"/>
      <c r="CD99" s="921"/>
      <c r="CE99" s="922"/>
      <c r="CF99" s="921"/>
      <c r="CG99" s="918">
        <f>+CC99+CD99+CE99-CF99</f>
        <v>0</v>
      </c>
      <c r="CH99" s="894"/>
      <c r="CI99" s="921"/>
      <c r="CJ99" s="921"/>
      <c r="CK99" s="922"/>
      <c r="CL99" s="921"/>
      <c r="CM99" s="918">
        <f>+CI99+CJ99+CK99-CL99</f>
        <v>0</v>
      </c>
      <c r="CN99" s="894"/>
      <c r="CO99" s="921"/>
      <c r="CP99" s="921"/>
      <c r="CQ99" s="922"/>
      <c r="CR99" s="921"/>
      <c r="CS99" s="918">
        <f>+CO99+CP99+CQ99-CR99</f>
        <v>0</v>
      </c>
      <c r="CT99" s="894"/>
    </row>
    <row r="100" spans="2:98" s="963" customFormat="1">
      <c r="B100" s="961"/>
      <c r="C100" s="962"/>
      <c r="D100" s="962"/>
      <c r="E100" s="962"/>
      <c r="F100" s="962"/>
      <c r="G100" s="962"/>
      <c r="H100" s="962"/>
      <c r="I100" s="962"/>
      <c r="J100" s="962"/>
      <c r="K100" s="962"/>
      <c r="L100" s="962"/>
      <c r="M100" s="962"/>
      <c r="N100" s="962"/>
      <c r="O100" s="962"/>
      <c r="P100" s="962"/>
      <c r="Q100" s="962"/>
      <c r="R100" s="962"/>
      <c r="S100" s="962"/>
      <c r="T100" s="962"/>
      <c r="U100" s="962"/>
      <c r="V100" s="962"/>
      <c r="W100" s="962"/>
      <c r="X100" s="962"/>
      <c r="Y100" s="962"/>
      <c r="Z100" s="962"/>
      <c r="AA100" s="962"/>
      <c r="AB100" s="962"/>
      <c r="AC100" s="962"/>
      <c r="AD100" s="962"/>
      <c r="AE100" s="962"/>
      <c r="AF100" s="962"/>
      <c r="AG100" s="962"/>
      <c r="AH100" s="962"/>
      <c r="AI100" s="962"/>
      <c r="AJ100" s="962"/>
      <c r="AK100" s="962"/>
      <c r="AL100" s="962"/>
      <c r="AM100" s="962"/>
      <c r="AN100" s="962"/>
      <c r="AO100" s="962"/>
      <c r="AP100" s="962"/>
      <c r="AQ100" s="962"/>
      <c r="AR100" s="962"/>
      <c r="AS100" s="962"/>
      <c r="AT100" s="962"/>
      <c r="AU100" s="962"/>
      <c r="AV100" s="962"/>
      <c r="AW100" s="962"/>
      <c r="AX100" s="962"/>
      <c r="AY100" s="962"/>
      <c r="AZ100" s="962"/>
      <c r="BA100" s="962"/>
      <c r="BB100" s="962"/>
      <c r="BC100" s="962"/>
      <c r="BD100" s="962"/>
      <c r="BE100" s="962"/>
      <c r="BF100" s="962"/>
      <c r="BG100" s="962"/>
      <c r="BH100" s="962"/>
      <c r="BI100" s="962"/>
      <c r="BJ100" s="962"/>
      <c r="BK100" s="962"/>
      <c r="BL100" s="962"/>
      <c r="BM100" s="962"/>
      <c r="BN100" s="962"/>
      <c r="BO100" s="962"/>
      <c r="BP100" s="962"/>
      <c r="BQ100" s="962"/>
      <c r="BR100" s="962"/>
      <c r="BS100" s="962"/>
      <c r="BT100" s="962"/>
      <c r="BU100" s="962"/>
      <c r="BV100" s="962"/>
      <c r="BW100" s="962"/>
      <c r="BX100" s="962"/>
      <c r="BY100" s="962"/>
      <c r="BZ100" s="962"/>
      <c r="CA100" s="962"/>
      <c r="CB100" s="962"/>
      <c r="CC100" s="962"/>
      <c r="CD100" s="962"/>
      <c r="CE100" s="962"/>
      <c r="CF100" s="962"/>
      <c r="CG100" s="962"/>
      <c r="CH100" s="962"/>
      <c r="CI100" s="962"/>
      <c r="CJ100" s="962"/>
      <c r="CK100" s="962"/>
      <c r="CL100" s="962"/>
      <c r="CM100" s="962"/>
      <c r="CN100" s="962"/>
      <c r="CO100" s="962"/>
      <c r="CP100" s="962"/>
      <c r="CQ100" s="962"/>
      <c r="CR100" s="962"/>
      <c r="CS100" s="962"/>
      <c r="CT100" s="962"/>
    </row>
    <row r="101" spans="2:98" s="963" customFormat="1" ht="12" thickBot="1">
      <c r="B101" s="961"/>
      <c r="C101" s="962"/>
      <c r="D101" s="962"/>
      <c r="E101" s="962"/>
      <c r="F101" s="962"/>
      <c r="G101" s="962"/>
      <c r="H101" s="962"/>
      <c r="I101" s="962"/>
      <c r="J101" s="962"/>
      <c r="K101" s="962"/>
      <c r="L101" s="962"/>
      <c r="M101" s="962"/>
      <c r="N101" s="962"/>
      <c r="O101" s="962"/>
      <c r="P101" s="962"/>
      <c r="Q101" s="962"/>
      <c r="R101" s="962"/>
      <c r="S101" s="962"/>
      <c r="T101" s="962"/>
      <c r="U101" s="962"/>
      <c r="V101" s="962"/>
      <c r="W101" s="962"/>
      <c r="X101" s="962"/>
      <c r="Y101" s="962"/>
      <c r="Z101" s="962"/>
      <c r="AA101" s="962"/>
      <c r="AB101" s="962"/>
      <c r="AC101" s="962"/>
      <c r="AD101" s="962"/>
      <c r="AE101" s="962"/>
      <c r="AF101" s="962"/>
      <c r="AG101" s="962"/>
      <c r="AH101" s="962"/>
      <c r="AI101" s="962"/>
      <c r="AJ101" s="962"/>
      <c r="AK101" s="962"/>
      <c r="AL101" s="962"/>
      <c r="AM101" s="962"/>
      <c r="AN101" s="962"/>
      <c r="AO101" s="962"/>
      <c r="AP101" s="962"/>
      <c r="AQ101" s="962"/>
      <c r="AR101" s="962"/>
      <c r="AS101" s="962"/>
      <c r="AT101" s="962"/>
      <c r="AU101" s="962"/>
      <c r="AV101" s="962"/>
      <c r="AW101" s="962"/>
      <c r="AX101" s="962"/>
      <c r="AY101" s="962"/>
      <c r="AZ101" s="962"/>
      <c r="BA101" s="962"/>
      <c r="BB101" s="962"/>
      <c r="BC101" s="962"/>
      <c r="BD101" s="962"/>
      <c r="BE101" s="962"/>
      <c r="BF101" s="962"/>
      <c r="BG101" s="962"/>
      <c r="BH101" s="962"/>
      <c r="BI101" s="962"/>
      <c r="BJ101" s="962"/>
      <c r="BK101" s="962"/>
      <c r="BL101" s="962"/>
      <c r="BM101" s="962"/>
      <c r="BN101" s="962"/>
      <c r="BO101" s="962"/>
      <c r="BP101" s="962"/>
      <c r="BQ101" s="962"/>
      <c r="BR101" s="962"/>
      <c r="BS101" s="962"/>
      <c r="BT101" s="962"/>
      <c r="BU101" s="962"/>
      <c r="BV101" s="962"/>
      <c r="BW101" s="962"/>
      <c r="BX101" s="962"/>
      <c r="BY101" s="962"/>
      <c r="BZ101" s="962"/>
      <c r="CA101" s="962"/>
      <c r="CB101" s="962"/>
      <c r="CC101" s="962"/>
      <c r="CD101" s="962"/>
      <c r="CE101" s="962"/>
      <c r="CF101" s="962"/>
      <c r="CG101" s="962"/>
      <c r="CH101" s="962"/>
      <c r="CI101" s="962"/>
      <c r="CJ101" s="962"/>
      <c r="CK101" s="962"/>
      <c r="CL101" s="962"/>
      <c r="CM101" s="962"/>
      <c r="CN101" s="962"/>
      <c r="CO101" s="962"/>
      <c r="CP101" s="962"/>
      <c r="CQ101" s="962"/>
      <c r="CR101" s="962"/>
      <c r="CS101" s="962"/>
      <c r="CT101" s="962"/>
    </row>
    <row r="102" spans="2:98" s="888" customFormat="1" ht="12" customHeight="1" thickBot="1">
      <c r="B102" s="925"/>
      <c r="C102" s="1614" t="s">
        <v>860</v>
      </c>
      <c r="D102" s="1615"/>
      <c r="E102" s="1615"/>
      <c r="F102" s="1615"/>
      <c r="G102" s="1615"/>
      <c r="H102" s="1616"/>
      <c r="I102" s="1617" t="s">
        <v>17</v>
      </c>
      <c r="J102" s="1618"/>
      <c r="K102" s="1618"/>
      <c r="L102" s="1618"/>
      <c r="M102" s="1618"/>
      <c r="N102" s="1619"/>
      <c r="O102" s="1614" t="s">
        <v>18</v>
      </c>
      <c r="P102" s="1615"/>
      <c r="Q102" s="1615"/>
      <c r="R102" s="1615"/>
      <c r="S102" s="1615"/>
      <c r="T102" s="1616"/>
      <c r="U102" s="1617" t="s">
        <v>19</v>
      </c>
      <c r="V102" s="1618"/>
      <c r="W102" s="1618"/>
      <c r="X102" s="1618"/>
      <c r="Y102" s="1618"/>
      <c r="Z102" s="1619"/>
      <c r="AA102" s="1614" t="s">
        <v>20</v>
      </c>
      <c r="AB102" s="1615"/>
      <c r="AC102" s="1615"/>
      <c r="AD102" s="1615"/>
      <c r="AE102" s="1615"/>
      <c r="AF102" s="1616"/>
      <c r="AG102" s="1617" t="s">
        <v>21</v>
      </c>
      <c r="AH102" s="1618"/>
      <c r="AI102" s="1618"/>
      <c r="AJ102" s="1618"/>
      <c r="AK102" s="1618"/>
      <c r="AL102" s="1619"/>
      <c r="AM102" s="1614" t="s">
        <v>22</v>
      </c>
      <c r="AN102" s="1615"/>
      <c r="AO102" s="1615"/>
      <c r="AP102" s="1615"/>
      <c r="AQ102" s="1615"/>
      <c r="AR102" s="1616"/>
      <c r="AS102" s="1617" t="s">
        <v>23</v>
      </c>
      <c r="AT102" s="1618"/>
      <c r="AU102" s="1618"/>
      <c r="AV102" s="1618"/>
      <c r="AW102" s="1618"/>
      <c r="AX102" s="1619"/>
      <c r="AY102" s="1614" t="s">
        <v>24</v>
      </c>
      <c r="AZ102" s="1615"/>
      <c r="BA102" s="1615"/>
      <c r="BB102" s="1615"/>
      <c r="BC102" s="1615"/>
      <c r="BD102" s="1616"/>
      <c r="BE102" s="1617" t="s">
        <v>25</v>
      </c>
      <c r="BF102" s="1618"/>
      <c r="BG102" s="1618"/>
      <c r="BH102" s="1618"/>
      <c r="BI102" s="1618"/>
      <c r="BJ102" s="1619"/>
      <c r="BK102" s="1614" t="s">
        <v>26</v>
      </c>
      <c r="BL102" s="1615"/>
      <c r="BM102" s="1615"/>
      <c r="BN102" s="1615"/>
      <c r="BO102" s="1615"/>
      <c r="BP102" s="1616"/>
      <c r="BQ102" s="1617" t="s">
        <v>27</v>
      </c>
      <c r="BR102" s="1618"/>
      <c r="BS102" s="1618"/>
      <c r="BT102" s="1618"/>
      <c r="BU102" s="1618"/>
      <c r="BV102" s="1619"/>
      <c r="BW102" s="1614" t="s">
        <v>28</v>
      </c>
      <c r="BX102" s="1615"/>
      <c r="BY102" s="1615"/>
      <c r="BZ102" s="1615"/>
      <c r="CA102" s="1615"/>
      <c r="CB102" s="1616"/>
      <c r="CC102" s="1617" t="s">
        <v>697</v>
      </c>
      <c r="CD102" s="1618"/>
      <c r="CE102" s="1618"/>
      <c r="CF102" s="1618"/>
      <c r="CG102" s="1618"/>
      <c r="CH102" s="1619"/>
      <c r="CI102" s="1614" t="s">
        <v>30</v>
      </c>
      <c r="CJ102" s="1615"/>
      <c r="CK102" s="1615"/>
      <c r="CL102" s="1615"/>
      <c r="CM102" s="1615"/>
      <c r="CN102" s="1616"/>
      <c r="CO102" s="1617" t="s">
        <v>31</v>
      </c>
      <c r="CP102" s="1618"/>
      <c r="CQ102" s="1618"/>
      <c r="CR102" s="1618"/>
      <c r="CS102" s="1618"/>
      <c r="CT102" s="1619"/>
    </row>
    <row r="103" spans="2:98" s="888" customFormat="1" ht="45.75" thickBot="1">
      <c r="B103" s="926" t="s">
        <v>170</v>
      </c>
      <c r="C103" s="927" t="s">
        <v>1308</v>
      </c>
      <c r="D103" s="928" t="s">
        <v>921</v>
      </c>
      <c r="E103" s="929" t="s">
        <v>922</v>
      </c>
      <c r="F103" s="928" t="s">
        <v>859</v>
      </c>
      <c r="G103" s="930" t="s">
        <v>923</v>
      </c>
      <c r="H103" s="930" t="s">
        <v>1309</v>
      </c>
      <c r="I103" s="927" t="s">
        <v>1308</v>
      </c>
      <c r="J103" s="928" t="s">
        <v>921</v>
      </c>
      <c r="K103" s="929" t="s">
        <v>922</v>
      </c>
      <c r="L103" s="928" t="s">
        <v>859</v>
      </c>
      <c r="M103" s="930" t="s">
        <v>923</v>
      </c>
      <c r="N103" s="930" t="s">
        <v>1309</v>
      </c>
      <c r="O103" s="927" t="s">
        <v>1308</v>
      </c>
      <c r="P103" s="928" t="s">
        <v>921</v>
      </c>
      <c r="Q103" s="929" t="s">
        <v>922</v>
      </c>
      <c r="R103" s="928" t="s">
        <v>859</v>
      </c>
      <c r="S103" s="930" t="s">
        <v>923</v>
      </c>
      <c r="T103" s="930" t="s">
        <v>1309</v>
      </c>
      <c r="U103" s="927" t="s">
        <v>1308</v>
      </c>
      <c r="V103" s="928" t="s">
        <v>921</v>
      </c>
      <c r="W103" s="929" t="s">
        <v>922</v>
      </c>
      <c r="X103" s="928" t="s">
        <v>859</v>
      </c>
      <c r="Y103" s="930" t="s">
        <v>923</v>
      </c>
      <c r="Z103" s="930" t="s">
        <v>1309</v>
      </c>
      <c r="AA103" s="927" t="s">
        <v>1308</v>
      </c>
      <c r="AB103" s="928" t="s">
        <v>921</v>
      </c>
      <c r="AC103" s="929" t="s">
        <v>922</v>
      </c>
      <c r="AD103" s="928" t="s">
        <v>859</v>
      </c>
      <c r="AE103" s="930" t="s">
        <v>923</v>
      </c>
      <c r="AF103" s="930" t="s">
        <v>1309</v>
      </c>
      <c r="AG103" s="927" t="s">
        <v>1308</v>
      </c>
      <c r="AH103" s="928" t="s">
        <v>921</v>
      </c>
      <c r="AI103" s="929" t="s">
        <v>922</v>
      </c>
      <c r="AJ103" s="928" t="s">
        <v>859</v>
      </c>
      <c r="AK103" s="930" t="s">
        <v>923</v>
      </c>
      <c r="AL103" s="930" t="s">
        <v>1309</v>
      </c>
      <c r="AM103" s="927" t="s">
        <v>1308</v>
      </c>
      <c r="AN103" s="928" t="s">
        <v>921</v>
      </c>
      <c r="AO103" s="929" t="s">
        <v>922</v>
      </c>
      <c r="AP103" s="928" t="s">
        <v>859</v>
      </c>
      <c r="AQ103" s="930" t="s">
        <v>923</v>
      </c>
      <c r="AR103" s="930" t="s">
        <v>1309</v>
      </c>
      <c r="AS103" s="927" t="s">
        <v>1308</v>
      </c>
      <c r="AT103" s="928" t="s">
        <v>921</v>
      </c>
      <c r="AU103" s="929" t="s">
        <v>922</v>
      </c>
      <c r="AV103" s="928" t="s">
        <v>859</v>
      </c>
      <c r="AW103" s="930" t="s">
        <v>923</v>
      </c>
      <c r="AX103" s="930" t="s">
        <v>1309</v>
      </c>
      <c r="AY103" s="927" t="s">
        <v>1308</v>
      </c>
      <c r="AZ103" s="928" t="s">
        <v>921</v>
      </c>
      <c r="BA103" s="929" t="s">
        <v>922</v>
      </c>
      <c r="BB103" s="928" t="s">
        <v>859</v>
      </c>
      <c r="BC103" s="930" t="s">
        <v>923</v>
      </c>
      <c r="BD103" s="930" t="s">
        <v>1309</v>
      </c>
      <c r="BE103" s="927" t="s">
        <v>1308</v>
      </c>
      <c r="BF103" s="931" t="s">
        <v>921</v>
      </c>
      <c r="BG103" s="929" t="s">
        <v>922</v>
      </c>
      <c r="BH103" s="928" t="s">
        <v>859</v>
      </c>
      <c r="BI103" s="930" t="s">
        <v>923</v>
      </c>
      <c r="BJ103" s="930" t="s">
        <v>1309</v>
      </c>
      <c r="BK103" s="927" t="s">
        <v>1308</v>
      </c>
      <c r="BL103" s="928" t="s">
        <v>921</v>
      </c>
      <c r="BM103" s="929" t="s">
        <v>922</v>
      </c>
      <c r="BN103" s="928" t="s">
        <v>859</v>
      </c>
      <c r="BO103" s="930" t="s">
        <v>923</v>
      </c>
      <c r="BP103" s="930" t="s">
        <v>1309</v>
      </c>
      <c r="BQ103" s="927" t="s">
        <v>1308</v>
      </c>
      <c r="BR103" s="928" t="s">
        <v>921</v>
      </c>
      <c r="BS103" s="929" t="s">
        <v>922</v>
      </c>
      <c r="BT103" s="928" t="s">
        <v>859</v>
      </c>
      <c r="BU103" s="930" t="s">
        <v>923</v>
      </c>
      <c r="BV103" s="930" t="s">
        <v>1309</v>
      </c>
      <c r="BW103" s="927" t="s">
        <v>1308</v>
      </c>
      <c r="BX103" s="928" t="s">
        <v>921</v>
      </c>
      <c r="BY103" s="929" t="s">
        <v>922</v>
      </c>
      <c r="BZ103" s="928" t="s">
        <v>859</v>
      </c>
      <c r="CA103" s="930" t="s">
        <v>923</v>
      </c>
      <c r="CB103" s="930" t="s">
        <v>1309</v>
      </c>
      <c r="CC103" s="927" t="s">
        <v>1308</v>
      </c>
      <c r="CD103" s="928" t="s">
        <v>921</v>
      </c>
      <c r="CE103" s="929" t="s">
        <v>922</v>
      </c>
      <c r="CF103" s="928" t="s">
        <v>859</v>
      </c>
      <c r="CG103" s="930" t="s">
        <v>923</v>
      </c>
      <c r="CH103" s="930" t="s">
        <v>1309</v>
      </c>
      <c r="CI103" s="927" t="s">
        <v>1308</v>
      </c>
      <c r="CJ103" s="928" t="s">
        <v>921</v>
      </c>
      <c r="CK103" s="929" t="s">
        <v>922</v>
      </c>
      <c r="CL103" s="928" t="s">
        <v>859</v>
      </c>
      <c r="CM103" s="930" t="s">
        <v>923</v>
      </c>
      <c r="CN103" s="930" t="s">
        <v>1309</v>
      </c>
      <c r="CO103" s="927" t="s">
        <v>1308</v>
      </c>
      <c r="CP103" s="928" t="s">
        <v>921</v>
      </c>
      <c r="CQ103" s="929" t="s">
        <v>922</v>
      </c>
      <c r="CR103" s="928" t="s">
        <v>859</v>
      </c>
      <c r="CS103" s="930" t="s">
        <v>923</v>
      </c>
      <c r="CT103" s="930" t="s">
        <v>1309</v>
      </c>
    </row>
    <row r="104" spans="2:98" s="888" customFormat="1">
      <c r="B104" s="911" t="s">
        <v>912</v>
      </c>
      <c r="C104" s="900"/>
      <c r="D104" s="900"/>
      <c r="E104" s="900"/>
      <c r="F104" s="900"/>
      <c r="G104" s="900"/>
      <c r="H104" s="934"/>
      <c r="I104" s="900"/>
      <c r="J104" s="907"/>
      <c r="K104" s="908"/>
      <c r="L104" s="900">
        <f t="shared" ref="L104:L110" si="91">I104+J104+K104</f>
        <v>0</v>
      </c>
      <c r="M104" s="934"/>
      <c r="N104" s="906">
        <f t="shared" ref="N104:N110" si="92">+L104-M104</f>
        <v>0</v>
      </c>
      <c r="O104" s="900"/>
      <c r="P104" s="907"/>
      <c r="Q104" s="908"/>
      <c r="R104" s="900">
        <f t="shared" ref="R104:R110" si="93">O104+P104+Q104</f>
        <v>0</v>
      </c>
      <c r="S104" s="934"/>
      <c r="T104" s="906">
        <f t="shared" ref="T104:T110" si="94">+R104-S104</f>
        <v>0</v>
      </c>
      <c r="U104" s="900"/>
      <c r="V104" s="907"/>
      <c r="W104" s="908"/>
      <c r="X104" s="900">
        <f t="shared" ref="X104:X110" si="95">U104+V104+W104</f>
        <v>0</v>
      </c>
      <c r="Y104" s="934"/>
      <c r="Z104" s="906">
        <f t="shared" ref="Z104:Z110" si="96">+X104-Y104</f>
        <v>0</v>
      </c>
      <c r="AA104" s="900"/>
      <c r="AB104" s="907"/>
      <c r="AC104" s="908"/>
      <c r="AD104" s="900">
        <f t="shared" ref="AD104:AD110" si="97">AA104+AB104+AC104</f>
        <v>0</v>
      </c>
      <c r="AE104" s="934"/>
      <c r="AF104" s="906">
        <f t="shared" ref="AF104:AF110" si="98">+AD104-AE104</f>
        <v>0</v>
      </c>
      <c r="AG104" s="900"/>
      <c r="AH104" s="907"/>
      <c r="AI104" s="908"/>
      <c r="AJ104" s="900">
        <f t="shared" ref="AJ104:AJ110" si="99">AG104+AH104+AI104</f>
        <v>0</v>
      </c>
      <c r="AK104" s="934"/>
      <c r="AL104" s="906">
        <f t="shared" ref="AL104:AL110" si="100">+AJ104-AK104</f>
        <v>0</v>
      </c>
      <c r="AM104" s="900"/>
      <c r="AN104" s="907"/>
      <c r="AO104" s="908"/>
      <c r="AP104" s="900">
        <f t="shared" ref="AP104:AP110" si="101">AM104+AN104+AO104</f>
        <v>0</v>
      </c>
      <c r="AQ104" s="934"/>
      <c r="AR104" s="906">
        <f t="shared" ref="AR104:AR110" si="102">+AP104-AQ104</f>
        <v>0</v>
      </c>
      <c r="AS104" s="900"/>
      <c r="AT104" s="907"/>
      <c r="AU104" s="908"/>
      <c r="AV104" s="900">
        <f t="shared" ref="AV104:AV110" si="103">AS104+AT104+AU104</f>
        <v>0</v>
      </c>
      <c r="AW104" s="934"/>
      <c r="AX104" s="906">
        <f t="shared" ref="AX104:AX110" si="104">+AV104-AW104</f>
        <v>0</v>
      </c>
      <c r="AY104" s="900"/>
      <c r="AZ104" s="907"/>
      <c r="BA104" s="908"/>
      <c r="BB104" s="900">
        <f t="shared" ref="BB104:BB110" si="105">AY104+AZ104+BA104</f>
        <v>0</v>
      </c>
      <c r="BC104" s="934"/>
      <c r="BD104" s="906">
        <f t="shared" ref="BD104:BD110" si="106">+BB104-BC104</f>
        <v>0</v>
      </c>
      <c r="BE104" s="900"/>
      <c r="BF104" s="909"/>
      <c r="BG104" s="908"/>
      <c r="BH104" s="900">
        <f t="shared" ref="BH104:BH110" si="107">BE104+BF104+BG104</f>
        <v>0</v>
      </c>
      <c r="BI104" s="934"/>
      <c r="BJ104" s="906">
        <f t="shared" ref="BJ104:BJ110" si="108">+BH104-BI104</f>
        <v>0</v>
      </c>
      <c r="BK104" s="900"/>
      <c r="BL104" s="907"/>
      <c r="BM104" s="908"/>
      <c r="BN104" s="900">
        <f t="shared" ref="BN104:BN110" si="109">BK104+BL104+BM104</f>
        <v>0</v>
      </c>
      <c r="BO104" s="934"/>
      <c r="BP104" s="906">
        <f t="shared" ref="BP104:BP110" si="110">+BN104-BO104</f>
        <v>0</v>
      </c>
      <c r="BQ104" s="900"/>
      <c r="BR104" s="907"/>
      <c r="BS104" s="908"/>
      <c r="BT104" s="900">
        <f t="shared" ref="BT104:BT110" si="111">BQ104+BR104+BS104</f>
        <v>0</v>
      </c>
      <c r="BU104" s="934"/>
      <c r="BV104" s="906">
        <f t="shared" ref="BV104:BV110" si="112">+BT104-BU104</f>
        <v>0</v>
      </c>
      <c r="BW104" s="900"/>
      <c r="BX104" s="907"/>
      <c r="BY104" s="908"/>
      <c r="BZ104" s="900">
        <f t="shared" ref="BZ104:BZ110" si="113">BW104+BX104+BY104</f>
        <v>0</v>
      </c>
      <c r="CA104" s="934"/>
      <c r="CB104" s="906">
        <f t="shared" ref="CB104:CB110" si="114">+BZ104-CA104</f>
        <v>0</v>
      </c>
      <c r="CC104" s="900"/>
      <c r="CD104" s="907"/>
      <c r="CE104" s="908"/>
      <c r="CF104" s="900">
        <f t="shared" ref="CF104:CF110" si="115">CC104+CD104+CE104</f>
        <v>0</v>
      </c>
      <c r="CG104" s="934"/>
      <c r="CH104" s="906">
        <f t="shared" ref="CH104:CH110" si="116">+CF104-CG104</f>
        <v>0</v>
      </c>
      <c r="CI104" s="900"/>
      <c r="CJ104" s="907"/>
      <c r="CK104" s="908"/>
      <c r="CL104" s="900">
        <f t="shared" ref="CL104:CL110" si="117">CI104+CJ104+CK104</f>
        <v>0</v>
      </c>
      <c r="CM104" s="934"/>
      <c r="CN104" s="906">
        <f t="shared" ref="CN104:CN110" si="118">+CL104-CM104</f>
        <v>0</v>
      </c>
      <c r="CO104" s="900"/>
      <c r="CP104" s="907"/>
      <c r="CQ104" s="908"/>
      <c r="CR104" s="900">
        <f t="shared" ref="CR104:CR110" si="119">CO104+CP104+CQ104</f>
        <v>0</v>
      </c>
      <c r="CS104" s="934"/>
      <c r="CT104" s="906">
        <f t="shared" ref="CT104:CT110" si="120">+CR104-CS104</f>
        <v>0</v>
      </c>
    </row>
    <row r="105" spans="2:98" s="888" customFormat="1">
      <c r="B105" s="905" t="s">
        <v>394</v>
      </c>
      <c r="C105" s="900">
        <f>I105+O105+U105+AA105+AG105+AM105+AS105+AY105+BE105+BK105+BQ105+BW105+CC105+CI105+CO105</f>
        <v>6709384</v>
      </c>
      <c r="D105" s="900">
        <f t="shared" ref="D105:E108" si="121">J105+P105+V105+AB105+AH105+AN105+AT105+AZ105+BF105+BL105+BS105+BX105+CD105+CJ105+CP105</f>
        <v>0</v>
      </c>
      <c r="E105" s="900">
        <f t="shared" si="121"/>
        <v>0</v>
      </c>
      <c r="F105" s="900">
        <f>C105+D105+E105</f>
        <v>6709384</v>
      </c>
      <c r="G105" s="900">
        <f>M105+S105+Y105+AE105+AK105+AQ105+AW105+BC105+BI105+BO105+BV105+CA105+CG105+CM105+CS105</f>
        <v>0</v>
      </c>
      <c r="H105" s="906">
        <f>+F105-G105</f>
        <v>6709384</v>
      </c>
      <c r="I105" s="900"/>
      <c r="J105" s="907"/>
      <c r="K105" s="908"/>
      <c r="L105" s="900">
        <f t="shared" si="91"/>
        <v>0</v>
      </c>
      <c r="M105" s="934"/>
      <c r="N105" s="906">
        <f t="shared" si="92"/>
        <v>0</v>
      </c>
      <c r="O105" s="900"/>
      <c r="P105" s="907"/>
      <c r="Q105" s="908"/>
      <c r="R105" s="900">
        <f t="shared" si="93"/>
        <v>0</v>
      </c>
      <c r="S105" s="934"/>
      <c r="T105" s="906">
        <f t="shared" si="94"/>
        <v>0</v>
      </c>
      <c r="U105" s="900"/>
      <c r="V105" s="907"/>
      <c r="W105" s="908"/>
      <c r="X105" s="900">
        <f t="shared" si="95"/>
        <v>0</v>
      </c>
      <c r="Y105" s="934"/>
      <c r="Z105" s="906">
        <f t="shared" si="96"/>
        <v>0</v>
      </c>
      <c r="AA105" s="900"/>
      <c r="AB105" s="907"/>
      <c r="AC105" s="908"/>
      <c r="AD105" s="900">
        <f t="shared" si="97"/>
        <v>0</v>
      </c>
      <c r="AE105" s="934"/>
      <c r="AF105" s="906">
        <f t="shared" si="98"/>
        <v>0</v>
      </c>
      <c r="AG105" s="900"/>
      <c r="AH105" s="907"/>
      <c r="AI105" s="908"/>
      <c r="AJ105" s="900">
        <f t="shared" si="99"/>
        <v>0</v>
      </c>
      <c r="AK105" s="934"/>
      <c r="AL105" s="906">
        <f t="shared" si="100"/>
        <v>0</v>
      </c>
      <c r="AM105" s="900"/>
      <c r="AN105" s="907"/>
      <c r="AO105" s="908"/>
      <c r="AP105" s="900">
        <f t="shared" si="101"/>
        <v>0</v>
      </c>
      <c r="AQ105" s="934"/>
      <c r="AR105" s="906">
        <f t="shared" si="102"/>
        <v>0</v>
      </c>
      <c r="AS105" s="900"/>
      <c r="AT105" s="907"/>
      <c r="AU105" s="908"/>
      <c r="AV105" s="900">
        <f t="shared" si="103"/>
        <v>0</v>
      </c>
      <c r="AW105" s="934"/>
      <c r="AX105" s="906">
        <f t="shared" si="104"/>
        <v>0</v>
      </c>
      <c r="AY105" s="900"/>
      <c r="AZ105" s="907"/>
      <c r="BA105" s="908"/>
      <c r="BB105" s="900">
        <f t="shared" si="105"/>
        <v>0</v>
      </c>
      <c r="BC105" s="934"/>
      <c r="BD105" s="906">
        <f t="shared" si="106"/>
        <v>0</v>
      </c>
      <c r="BE105" s="900"/>
      <c r="BF105" s="909"/>
      <c r="BG105" s="908"/>
      <c r="BH105" s="900">
        <f t="shared" si="107"/>
        <v>0</v>
      </c>
      <c r="BI105" s="934"/>
      <c r="BJ105" s="906">
        <f t="shared" si="108"/>
        <v>0</v>
      </c>
      <c r="BK105" s="900"/>
      <c r="BL105" s="907"/>
      <c r="BM105" s="908"/>
      <c r="BN105" s="900">
        <f t="shared" si="109"/>
        <v>0</v>
      </c>
      <c r="BO105" s="934"/>
      <c r="BP105" s="906">
        <f t="shared" si="110"/>
        <v>0</v>
      </c>
      <c r="BQ105" s="900"/>
      <c r="BR105" s="907"/>
      <c r="BS105" s="908"/>
      <c r="BT105" s="900">
        <f t="shared" si="111"/>
        <v>0</v>
      </c>
      <c r="BU105" s="934"/>
      <c r="BV105" s="906">
        <f t="shared" si="112"/>
        <v>0</v>
      </c>
      <c r="BW105" s="900"/>
      <c r="BX105" s="907"/>
      <c r="BY105" s="908"/>
      <c r="BZ105" s="900">
        <f t="shared" si="113"/>
        <v>0</v>
      </c>
      <c r="CA105" s="934"/>
      <c r="CB105" s="906">
        <f t="shared" si="114"/>
        <v>0</v>
      </c>
      <c r="CC105" s="900"/>
      <c r="CD105" s="907"/>
      <c r="CE105" s="908"/>
      <c r="CF105" s="900">
        <f t="shared" si="115"/>
        <v>0</v>
      </c>
      <c r="CG105" s="934"/>
      <c r="CH105" s="906">
        <f t="shared" si="116"/>
        <v>0</v>
      </c>
      <c r="CI105" s="900"/>
      <c r="CJ105" s="907"/>
      <c r="CK105" s="908"/>
      <c r="CL105" s="900">
        <f t="shared" si="117"/>
        <v>0</v>
      </c>
      <c r="CM105" s="934"/>
      <c r="CN105" s="906">
        <f t="shared" si="118"/>
        <v>0</v>
      </c>
      <c r="CO105" s="900">
        <v>6709384</v>
      </c>
      <c r="CP105" s="907"/>
      <c r="CQ105" s="908"/>
      <c r="CR105" s="900">
        <f t="shared" si="119"/>
        <v>6709384</v>
      </c>
      <c r="CS105" s="934"/>
      <c r="CT105" s="906">
        <f t="shared" si="120"/>
        <v>6709384</v>
      </c>
    </row>
    <row r="106" spans="2:98" s="888" customFormat="1">
      <c r="B106" s="905" t="s">
        <v>398</v>
      </c>
      <c r="C106" s="900">
        <f>I106+O106+U106+AA106+AG106+AM106+AS106+AY106+BE106+BK106+BQ106+BW106+CC106+CI106+CO106</f>
        <v>6701477</v>
      </c>
      <c r="D106" s="900">
        <f t="shared" si="121"/>
        <v>0</v>
      </c>
      <c r="E106" s="900">
        <f t="shared" si="121"/>
        <v>0</v>
      </c>
      <c r="F106" s="900">
        <f>C106+D106+E106</f>
        <v>6701477</v>
      </c>
      <c r="G106" s="900">
        <f>M106+S106+Y106+AE106+AK106+AQ106+AW106+BC106+BI106+BO106+BV106+CA106+CG106+CM106+CS106</f>
        <v>0</v>
      </c>
      <c r="H106" s="906">
        <f>+F106-G106</f>
        <v>6701477</v>
      </c>
      <c r="I106" s="900"/>
      <c r="J106" s="907"/>
      <c r="K106" s="908"/>
      <c r="L106" s="900">
        <f t="shared" si="91"/>
        <v>0</v>
      </c>
      <c r="M106" s="934"/>
      <c r="N106" s="906">
        <f t="shared" si="92"/>
        <v>0</v>
      </c>
      <c r="O106" s="900"/>
      <c r="P106" s="907"/>
      <c r="Q106" s="908"/>
      <c r="R106" s="900">
        <f t="shared" si="93"/>
        <v>0</v>
      </c>
      <c r="S106" s="934"/>
      <c r="T106" s="906">
        <f t="shared" si="94"/>
        <v>0</v>
      </c>
      <c r="U106" s="900"/>
      <c r="V106" s="907"/>
      <c r="W106" s="908"/>
      <c r="X106" s="900">
        <f t="shared" si="95"/>
        <v>0</v>
      </c>
      <c r="Y106" s="934"/>
      <c r="Z106" s="906">
        <f t="shared" si="96"/>
        <v>0</v>
      </c>
      <c r="AA106" s="900"/>
      <c r="AB106" s="907"/>
      <c r="AC106" s="908"/>
      <c r="AD106" s="900">
        <f t="shared" si="97"/>
        <v>0</v>
      </c>
      <c r="AE106" s="934"/>
      <c r="AF106" s="906">
        <f t="shared" si="98"/>
        <v>0</v>
      </c>
      <c r="AG106" s="900"/>
      <c r="AH106" s="907"/>
      <c r="AI106" s="908"/>
      <c r="AJ106" s="900">
        <f t="shared" si="99"/>
        <v>0</v>
      </c>
      <c r="AK106" s="934"/>
      <c r="AL106" s="906">
        <f t="shared" si="100"/>
        <v>0</v>
      </c>
      <c r="AM106" s="900"/>
      <c r="AN106" s="907"/>
      <c r="AO106" s="908"/>
      <c r="AP106" s="900">
        <f t="shared" si="101"/>
        <v>0</v>
      </c>
      <c r="AQ106" s="934"/>
      <c r="AR106" s="906">
        <f t="shared" si="102"/>
        <v>0</v>
      </c>
      <c r="AS106" s="900"/>
      <c r="AT106" s="907"/>
      <c r="AU106" s="908"/>
      <c r="AV106" s="900">
        <f t="shared" si="103"/>
        <v>0</v>
      </c>
      <c r="AW106" s="934"/>
      <c r="AX106" s="906">
        <f t="shared" si="104"/>
        <v>0</v>
      </c>
      <c r="AY106" s="900"/>
      <c r="AZ106" s="907"/>
      <c r="BA106" s="908"/>
      <c r="BB106" s="900">
        <f t="shared" si="105"/>
        <v>0</v>
      </c>
      <c r="BC106" s="934"/>
      <c r="BD106" s="906">
        <f t="shared" si="106"/>
        <v>0</v>
      </c>
      <c r="BE106" s="900"/>
      <c r="BF106" s="909"/>
      <c r="BG106" s="908"/>
      <c r="BH106" s="900">
        <f t="shared" si="107"/>
        <v>0</v>
      </c>
      <c r="BI106" s="934"/>
      <c r="BJ106" s="906">
        <f t="shared" si="108"/>
        <v>0</v>
      </c>
      <c r="BK106" s="900"/>
      <c r="BL106" s="907"/>
      <c r="BM106" s="908"/>
      <c r="BN106" s="900">
        <f t="shared" si="109"/>
        <v>0</v>
      </c>
      <c r="BO106" s="934"/>
      <c r="BP106" s="906">
        <f t="shared" si="110"/>
        <v>0</v>
      </c>
      <c r="BQ106" s="900"/>
      <c r="BR106" s="907"/>
      <c r="BS106" s="908"/>
      <c r="BT106" s="900">
        <f t="shared" si="111"/>
        <v>0</v>
      </c>
      <c r="BU106" s="934"/>
      <c r="BV106" s="906">
        <f t="shared" si="112"/>
        <v>0</v>
      </c>
      <c r="BW106" s="900"/>
      <c r="BX106" s="907"/>
      <c r="BY106" s="908"/>
      <c r="BZ106" s="900">
        <f t="shared" si="113"/>
        <v>0</v>
      </c>
      <c r="CA106" s="934"/>
      <c r="CB106" s="906">
        <f t="shared" si="114"/>
        <v>0</v>
      </c>
      <c r="CC106" s="900"/>
      <c r="CD106" s="907"/>
      <c r="CE106" s="908"/>
      <c r="CF106" s="900">
        <f t="shared" si="115"/>
        <v>0</v>
      </c>
      <c r="CG106" s="934"/>
      <c r="CH106" s="906">
        <f t="shared" si="116"/>
        <v>0</v>
      </c>
      <c r="CI106" s="900"/>
      <c r="CJ106" s="907"/>
      <c r="CK106" s="908"/>
      <c r="CL106" s="900">
        <f t="shared" si="117"/>
        <v>0</v>
      </c>
      <c r="CM106" s="934"/>
      <c r="CN106" s="906">
        <f t="shared" si="118"/>
        <v>0</v>
      </c>
      <c r="CO106" s="900">
        <v>6701477</v>
      </c>
      <c r="CP106" s="907"/>
      <c r="CQ106" s="908"/>
      <c r="CR106" s="900">
        <f t="shared" si="119"/>
        <v>6701477</v>
      </c>
      <c r="CS106" s="934"/>
      <c r="CT106" s="906">
        <f t="shared" si="120"/>
        <v>6701477</v>
      </c>
    </row>
    <row r="107" spans="2:98" s="888" customFormat="1">
      <c r="B107" s="905" t="s">
        <v>399</v>
      </c>
      <c r="C107" s="900">
        <f>I107+O107+U107+AA107+AG107+AM107+AS107+AY107+BE107+BK107+BQ107+BW107+CC107+CI107+CO107</f>
        <v>474499</v>
      </c>
      <c r="D107" s="900">
        <f t="shared" si="121"/>
        <v>0</v>
      </c>
      <c r="E107" s="900">
        <f t="shared" si="121"/>
        <v>0</v>
      </c>
      <c r="F107" s="900">
        <f>C107+D107+E107</f>
        <v>474499</v>
      </c>
      <c r="G107" s="900">
        <f>M107+S107+Y107+AE107+AK107+AQ107+AW107+BC107+BI107+BO107+BV107+CA107+CG107+CM107+CS107</f>
        <v>0</v>
      </c>
      <c r="H107" s="906">
        <f>+F107-G107</f>
        <v>474499</v>
      </c>
      <c r="I107" s="900"/>
      <c r="J107" s="907"/>
      <c r="K107" s="908"/>
      <c r="L107" s="900">
        <f t="shared" si="91"/>
        <v>0</v>
      </c>
      <c r="M107" s="934"/>
      <c r="N107" s="906">
        <f t="shared" si="92"/>
        <v>0</v>
      </c>
      <c r="O107" s="900"/>
      <c r="P107" s="907"/>
      <c r="Q107" s="908"/>
      <c r="R107" s="900">
        <f t="shared" si="93"/>
        <v>0</v>
      </c>
      <c r="S107" s="934"/>
      <c r="T107" s="906">
        <f t="shared" si="94"/>
        <v>0</v>
      </c>
      <c r="U107" s="900"/>
      <c r="V107" s="907"/>
      <c r="W107" s="908"/>
      <c r="X107" s="900">
        <f t="shared" si="95"/>
        <v>0</v>
      </c>
      <c r="Y107" s="934"/>
      <c r="Z107" s="906">
        <f t="shared" si="96"/>
        <v>0</v>
      </c>
      <c r="AA107" s="900"/>
      <c r="AB107" s="907"/>
      <c r="AC107" s="908"/>
      <c r="AD107" s="900">
        <f t="shared" si="97"/>
        <v>0</v>
      </c>
      <c r="AE107" s="934"/>
      <c r="AF107" s="906">
        <f t="shared" si="98"/>
        <v>0</v>
      </c>
      <c r="AG107" s="900"/>
      <c r="AH107" s="907"/>
      <c r="AI107" s="908"/>
      <c r="AJ107" s="900">
        <f t="shared" si="99"/>
        <v>0</v>
      </c>
      <c r="AK107" s="934"/>
      <c r="AL107" s="906">
        <f t="shared" si="100"/>
        <v>0</v>
      </c>
      <c r="AM107" s="900"/>
      <c r="AN107" s="907"/>
      <c r="AO107" s="908"/>
      <c r="AP107" s="900">
        <f t="shared" si="101"/>
        <v>0</v>
      </c>
      <c r="AQ107" s="934"/>
      <c r="AR107" s="906">
        <f t="shared" si="102"/>
        <v>0</v>
      </c>
      <c r="AS107" s="900"/>
      <c r="AT107" s="907"/>
      <c r="AU107" s="908"/>
      <c r="AV107" s="900">
        <f t="shared" si="103"/>
        <v>0</v>
      </c>
      <c r="AW107" s="934"/>
      <c r="AX107" s="906">
        <f t="shared" si="104"/>
        <v>0</v>
      </c>
      <c r="AY107" s="900"/>
      <c r="AZ107" s="907"/>
      <c r="BA107" s="908"/>
      <c r="BB107" s="900">
        <f t="shared" si="105"/>
        <v>0</v>
      </c>
      <c r="BC107" s="934"/>
      <c r="BD107" s="906">
        <f t="shared" si="106"/>
        <v>0</v>
      </c>
      <c r="BE107" s="900"/>
      <c r="BF107" s="909"/>
      <c r="BG107" s="908"/>
      <c r="BH107" s="900">
        <f t="shared" si="107"/>
        <v>0</v>
      </c>
      <c r="BI107" s="934"/>
      <c r="BJ107" s="906">
        <f t="shared" si="108"/>
        <v>0</v>
      </c>
      <c r="BK107" s="900"/>
      <c r="BL107" s="907"/>
      <c r="BM107" s="908"/>
      <c r="BN107" s="900">
        <f t="shared" si="109"/>
        <v>0</v>
      </c>
      <c r="BO107" s="934"/>
      <c r="BP107" s="906">
        <f t="shared" si="110"/>
        <v>0</v>
      </c>
      <c r="BQ107" s="900"/>
      <c r="BR107" s="907"/>
      <c r="BS107" s="908"/>
      <c r="BT107" s="900">
        <f t="shared" si="111"/>
        <v>0</v>
      </c>
      <c r="BU107" s="934"/>
      <c r="BV107" s="906">
        <f t="shared" si="112"/>
        <v>0</v>
      </c>
      <c r="BW107" s="900"/>
      <c r="BX107" s="907"/>
      <c r="BY107" s="908"/>
      <c r="BZ107" s="900">
        <f t="shared" si="113"/>
        <v>0</v>
      </c>
      <c r="CA107" s="934"/>
      <c r="CB107" s="906">
        <f t="shared" si="114"/>
        <v>0</v>
      </c>
      <c r="CC107" s="900"/>
      <c r="CD107" s="907"/>
      <c r="CE107" s="908"/>
      <c r="CF107" s="900">
        <f t="shared" si="115"/>
        <v>0</v>
      </c>
      <c r="CG107" s="934"/>
      <c r="CH107" s="906">
        <f t="shared" si="116"/>
        <v>0</v>
      </c>
      <c r="CI107" s="900"/>
      <c r="CJ107" s="907"/>
      <c r="CK107" s="908"/>
      <c r="CL107" s="900">
        <f t="shared" si="117"/>
        <v>0</v>
      </c>
      <c r="CM107" s="934"/>
      <c r="CN107" s="906">
        <f t="shared" si="118"/>
        <v>0</v>
      </c>
      <c r="CO107" s="900">
        <v>474499</v>
      </c>
      <c r="CP107" s="907"/>
      <c r="CQ107" s="908"/>
      <c r="CR107" s="900">
        <f t="shared" si="119"/>
        <v>474499</v>
      </c>
      <c r="CS107" s="934"/>
      <c r="CT107" s="906">
        <f t="shared" si="120"/>
        <v>474499</v>
      </c>
    </row>
    <row r="108" spans="2:98" s="888" customFormat="1">
      <c r="B108" s="911" t="s">
        <v>1312</v>
      </c>
      <c r="C108" s="900">
        <f>I108+O108+U108+AA108+AG108+AM108+AS108+AY108+BE108+BK108+BQ108+BW108+CC108+CI108+CO108</f>
        <v>0</v>
      </c>
      <c r="D108" s="900">
        <f t="shared" si="121"/>
        <v>0</v>
      </c>
      <c r="E108" s="900">
        <f t="shared" si="121"/>
        <v>0</v>
      </c>
      <c r="F108" s="900">
        <f>C108+D108+E108</f>
        <v>0</v>
      </c>
      <c r="G108" s="900">
        <f>M108+S108+Y108+AE108+AK108+AQ108+AW108+BC108+BI108+BO108+BV108+CA108+CG108+CM108+CS108</f>
        <v>0</v>
      </c>
      <c r="H108" s="906">
        <f>+F108-G108</f>
        <v>0</v>
      </c>
      <c r="I108" s="900"/>
      <c r="J108" s="907"/>
      <c r="K108" s="908"/>
      <c r="L108" s="900">
        <f t="shared" si="91"/>
        <v>0</v>
      </c>
      <c r="M108" s="934"/>
      <c r="N108" s="906">
        <f t="shared" si="92"/>
        <v>0</v>
      </c>
      <c r="O108" s="900"/>
      <c r="P108" s="907"/>
      <c r="Q108" s="908"/>
      <c r="R108" s="900">
        <f t="shared" si="93"/>
        <v>0</v>
      </c>
      <c r="S108" s="934"/>
      <c r="T108" s="906">
        <f t="shared" si="94"/>
        <v>0</v>
      </c>
      <c r="U108" s="900"/>
      <c r="V108" s="907"/>
      <c r="W108" s="908"/>
      <c r="X108" s="900">
        <f t="shared" si="95"/>
        <v>0</v>
      </c>
      <c r="Y108" s="934"/>
      <c r="Z108" s="906">
        <f t="shared" si="96"/>
        <v>0</v>
      </c>
      <c r="AA108" s="900"/>
      <c r="AB108" s="907"/>
      <c r="AC108" s="908"/>
      <c r="AD108" s="900">
        <f t="shared" si="97"/>
        <v>0</v>
      </c>
      <c r="AE108" s="934"/>
      <c r="AF108" s="906">
        <f t="shared" si="98"/>
        <v>0</v>
      </c>
      <c r="AG108" s="900"/>
      <c r="AH108" s="907"/>
      <c r="AI108" s="908"/>
      <c r="AJ108" s="900">
        <f t="shared" si="99"/>
        <v>0</v>
      </c>
      <c r="AK108" s="934"/>
      <c r="AL108" s="906">
        <f t="shared" si="100"/>
        <v>0</v>
      </c>
      <c r="AM108" s="900"/>
      <c r="AN108" s="907"/>
      <c r="AO108" s="908"/>
      <c r="AP108" s="900">
        <f t="shared" si="101"/>
        <v>0</v>
      </c>
      <c r="AQ108" s="934"/>
      <c r="AR108" s="906">
        <f t="shared" si="102"/>
        <v>0</v>
      </c>
      <c r="AS108" s="900"/>
      <c r="AT108" s="907"/>
      <c r="AU108" s="908"/>
      <c r="AV108" s="900">
        <f t="shared" si="103"/>
        <v>0</v>
      </c>
      <c r="AW108" s="934"/>
      <c r="AX108" s="906">
        <f t="shared" si="104"/>
        <v>0</v>
      </c>
      <c r="AY108" s="900"/>
      <c r="AZ108" s="907"/>
      <c r="BA108" s="908"/>
      <c r="BB108" s="900">
        <f t="shared" si="105"/>
        <v>0</v>
      </c>
      <c r="BC108" s="934"/>
      <c r="BD108" s="906">
        <f t="shared" si="106"/>
        <v>0</v>
      </c>
      <c r="BE108" s="900"/>
      <c r="BF108" s="909"/>
      <c r="BG108" s="908"/>
      <c r="BH108" s="900">
        <f t="shared" si="107"/>
        <v>0</v>
      </c>
      <c r="BI108" s="934"/>
      <c r="BJ108" s="906">
        <f t="shared" si="108"/>
        <v>0</v>
      </c>
      <c r="BK108" s="900"/>
      <c r="BL108" s="907"/>
      <c r="BM108" s="908"/>
      <c r="BN108" s="900">
        <f t="shared" si="109"/>
        <v>0</v>
      </c>
      <c r="BO108" s="934"/>
      <c r="BP108" s="906">
        <f t="shared" si="110"/>
        <v>0</v>
      </c>
      <c r="BQ108" s="900"/>
      <c r="BR108" s="907"/>
      <c r="BS108" s="908"/>
      <c r="BT108" s="900">
        <f t="shared" si="111"/>
        <v>0</v>
      </c>
      <c r="BU108" s="934"/>
      <c r="BV108" s="906">
        <f t="shared" si="112"/>
        <v>0</v>
      </c>
      <c r="BW108" s="900"/>
      <c r="BX108" s="907"/>
      <c r="BY108" s="908"/>
      <c r="BZ108" s="900">
        <f t="shared" si="113"/>
        <v>0</v>
      </c>
      <c r="CA108" s="934"/>
      <c r="CB108" s="906">
        <f t="shared" si="114"/>
        <v>0</v>
      </c>
      <c r="CC108" s="900"/>
      <c r="CD108" s="907"/>
      <c r="CE108" s="908"/>
      <c r="CF108" s="900">
        <f t="shared" si="115"/>
        <v>0</v>
      </c>
      <c r="CG108" s="934"/>
      <c r="CH108" s="906">
        <f t="shared" si="116"/>
        <v>0</v>
      </c>
      <c r="CI108" s="900"/>
      <c r="CJ108" s="907"/>
      <c r="CK108" s="908"/>
      <c r="CL108" s="900">
        <f t="shared" si="117"/>
        <v>0</v>
      </c>
      <c r="CM108" s="934"/>
      <c r="CN108" s="906">
        <f t="shared" si="118"/>
        <v>0</v>
      </c>
      <c r="CO108" s="900"/>
      <c r="CP108" s="907"/>
      <c r="CQ108" s="908"/>
      <c r="CR108" s="900">
        <f t="shared" si="119"/>
        <v>0</v>
      </c>
      <c r="CS108" s="934"/>
      <c r="CT108" s="906">
        <f t="shared" si="120"/>
        <v>0</v>
      </c>
    </row>
    <row r="109" spans="2:98" s="888" customFormat="1">
      <c r="B109" s="911" t="s">
        <v>913</v>
      </c>
      <c r="C109" s="900">
        <f>I109+O109+U109+AA109+AG109+AM109+AS109+AY109+BE109+BK109+BQ109+BW109+CC109+CI109+CO109</f>
        <v>13803388</v>
      </c>
      <c r="D109" s="900">
        <f>J109+P109+V109+AB109+AH109+AN109+AT109+AZ109+BF109+BL109+BS109+BX109+CD109+CJ109+CP109</f>
        <v>0</v>
      </c>
      <c r="E109" s="900">
        <f>K109+Q109+W109+AC109+AI109+AO109+AU109+BA109+BG109+BM109+BT109+BY109+CE109+CK109+CQ109</f>
        <v>0</v>
      </c>
      <c r="F109" s="900">
        <f>C109+D109+E109</f>
        <v>13803388</v>
      </c>
      <c r="G109" s="900">
        <f>M109+S109+Y109+AE109+AK109+AQ109+AW109+BC109+BI109+BO109+BV109+CA109+CG109+CM109+CS109</f>
        <v>0</v>
      </c>
      <c r="H109" s="906">
        <f>+F109-G109</f>
        <v>13803388</v>
      </c>
      <c r="I109" s="900"/>
      <c r="J109" s="907"/>
      <c r="K109" s="908"/>
      <c r="L109" s="900">
        <f t="shared" si="91"/>
        <v>0</v>
      </c>
      <c r="M109" s="934"/>
      <c r="N109" s="906">
        <f t="shared" si="92"/>
        <v>0</v>
      </c>
      <c r="O109" s="900"/>
      <c r="P109" s="907"/>
      <c r="Q109" s="908"/>
      <c r="R109" s="900">
        <f t="shared" si="93"/>
        <v>0</v>
      </c>
      <c r="S109" s="934"/>
      <c r="T109" s="906">
        <f t="shared" si="94"/>
        <v>0</v>
      </c>
      <c r="U109" s="900"/>
      <c r="V109" s="907"/>
      <c r="W109" s="908"/>
      <c r="X109" s="900">
        <f t="shared" si="95"/>
        <v>0</v>
      </c>
      <c r="Y109" s="934"/>
      <c r="Z109" s="906">
        <f t="shared" si="96"/>
        <v>0</v>
      </c>
      <c r="AA109" s="900"/>
      <c r="AB109" s="907"/>
      <c r="AC109" s="908"/>
      <c r="AD109" s="900">
        <f t="shared" si="97"/>
        <v>0</v>
      </c>
      <c r="AE109" s="934"/>
      <c r="AF109" s="906">
        <f t="shared" si="98"/>
        <v>0</v>
      </c>
      <c r="AG109" s="900"/>
      <c r="AH109" s="907"/>
      <c r="AI109" s="908"/>
      <c r="AJ109" s="900">
        <f t="shared" si="99"/>
        <v>0</v>
      </c>
      <c r="AK109" s="934"/>
      <c r="AL109" s="906">
        <f t="shared" si="100"/>
        <v>0</v>
      </c>
      <c r="AM109" s="900"/>
      <c r="AN109" s="907"/>
      <c r="AO109" s="908"/>
      <c r="AP109" s="900">
        <f t="shared" si="101"/>
        <v>0</v>
      </c>
      <c r="AQ109" s="934"/>
      <c r="AR109" s="906">
        <f t="shared" si="102"/>
        <v>0</v>
      </c>
      <c r="AS109" s="900"/>
      <c r="AT109" s="907"/>
      <c r="AU109" s="908"/>
      <c r="AV109" s="900">
        <f t="shared" si="103"/>
        <v>0</v>
      </c>
      <c r="AW109" s="934"/>
      <c r="AX109" s="906">
        <f t="shared" si="104"/>
        <v>0</v>
      </c>
      <c r="AY109" s="900"/>
      <c r="AZ109" s="907"/>
      <c r="BA109" s="908"/>
      <c r="BB109" s="900">
        <f t="shared" si="105"/>
        <v>0</v>
      </c>
      <c r="BC109" s="934"/>
      <c r="BD109" s="906">
        <f t="shared" si="106"/>
        <v>0</v>
      </c>
      <c r="BE109" s="900"/>
      <c r="BF109" s="909"/>
      <c r="BG109" s="908"/>
      <c r="BH109" s="900">
        <f t="shared" si="107"/>
        <v>0</v>
      </c>
      <c r="BI109" s="934"/>
      <c r="BJ109" s="906">
        <f t="shared" si="108"/>
        <v>0</v>
      </c>
      <c r="BK109" s="900"/>
      <c r="BL109" s="907"/>
      <c r="BM109" s="908"/>
      <c r="BN109" s="900">
        <f t="shared" si="109"/>
        <v>0</v>
      </c>
      <c r="BO109" s="934"/>
      <c r="BP109" s="906">
        <f t="shared" si="110"/>
        <v>0</v>
      </c>
      <c r="BQ109" s="900"/>
      <c r="BR109" s="907"/>
      <c r="BS109" s="908"/>
      <c r="BT109" s="900">
        <f t="shared" si="111"/>
        <v>0</v>
      </c>
      <c r="BU109" s="934"/>
      <c r="BV109" s="906">
        <f t="shared" si="112"/>
        <v>0</v>
      </c>
      <c r="BW109" s="900"/>
      <c r="BX109" s="907"/>
      <c r="BY109" s="908"/>
      <c r="BZ109" s="900">
        <f t="shared" si="113"/>
        <v>0</v>
      </c>
      <c r="CA109" s="934"/>
      <c r="CB109" s="906">
        <f t="shared" si="114"/>
        <v>0</v>
      </c>
      <c r="CC109" s="900"/>
      <c r="CD109" s="907"/>
      <c r="CE109" s="908"/>
      <c r="CF109" s="900">
        <f t="shared" si="115"/>
        <v>0</v>
      </c>
      <c r="CG109" s="934"/>
      <c r="CH109" s="906">
        <f t="shared" si="116"/>
        <v>0</v>
      </c>
      <c r="CI109" s="900"/>
      <c r="CJ109" s="907"/>
      <c r="CK109" s="908"/>
      <c r="CL109" s="900">
        <f t="shared" si="117"/>
        <v>0</v>
      </c>
      <c r="CM109" s="934"/>
      <c r="CN109" s="906">
        <f t="shared" si="118"/>
        <v>0</v>
      </c>
      <c r="CO109" s="900">
        <v>13803388</v>
      </c>
      <c r="CP109" s="907"/>
      <c r="CQ109" s="908"/>
      <c r="CR109" s="900">
        <f t="shared" si="119"/>
        <v>13803388</v>
      </c>
      <c r="CS109" s="934"/>
      <c r="CT109" s="906">
        <f t="shared" si="120"/>
        <v>13803388</v>
      </c>
    </row>
    <row r="110" spans="2:98" s="888" customFormat="1" ht="12" thickBot="1">
      <c r="B110" s="911"/>
      <c r="C110" s="900"/>
      <c r="D110" s="900"/>
      <c r="E110" s="900"/>
      <c r="F110" s="900"/>
      <c r="G110" s="900"/>
      <c r="H110" s="934"/>
      <c r="I110" s="900"/>
      <c r="J110" s="907"/>
      <c r="K110" s="908"/>
      <c r="L110" s="900">
        <f t="shared" si="91"/>
        <v>0</v>
      </c>
      <c r="M110" s="934"/>
      <c r="N110" s="906">
        <f t="shared" si="92"/>
        <v>0</v>
      </c>
      <c r="O110" s="900"/>
      <c r="P110" s="907"/>
      <c r="Q110" s="908"/>
      <c r="R110" s="900">
        <f t="shared" si="93"/>
        <v>0</v>
      </c>
      <c r="S110" s="934"/>
      <c r="T110" s="906">
        <f t="shared" si="94"/>
        <v>0</v>
      </c>
      <c r="U110" s="900"/>
      <c r="V110" s="907"/>
      <c r="W110" s="908"/>
      <c r="X110" s="900">
        <f t="shared" si="95"/>
        <v>0</v>
      </c>
      <c r="Y110" s="934"/>
      <c r="Z110" s="906">
        <f t="shared" si="96"/>
        <v>0</v>
      </c>
      <c r="AA110" s="900"/>
      <c r="AB110" s="907"/>
      <c r="AC110" s="908"/>
      <c r="AD110" s="900">
        <f t="shared" si="97"/>
        <v>0</v>
      </c>
      <c r="AE110" s="934"/>
      <c r="AF110" s="906">
        <f t="shared" si="98"/>
        <v>0</v>
      </c>
      <c r="AG110" s="900"/>
      <c r="AH110" s="907"/>
      <c r="AI110" s="908"/>
      <c r="AJ110" s="900">
        <f t="shared" si="99"/>
        <v>0</v>
      </c>
      <c r="AK110" s="934"/>
      <c r="AL110" s="906">
        <f t="shared" si="100"/>
        <v>0</v>
      </c>
      <c r="AM110" s="900"/>
      <c r="AN110" s="907"/>
      <c r="AO110" s="908"/>
      <c r="AP110" s="900">
        <f t="shared" si="101"/>
        <v>0</v>
      </c>
      <c r="AQ110" s="934"/>
      <c r="AR110" s="906">
        <f t="shared" si="102"/>
        <v>0</v>
      </c>
      <c r="AS110" s="900"/>
      <c r="AT110" s="907"/>
      <c r="AU110" s="908"/>
      <c r="AV110" s="900">
        <f t="shared" si="103"/>
        <v>0</v>
      </c>
      <c r="AW110" s="934"/>
      <c r="AX110" s="906">
        <f t="shared" si="104"/>
        <v>0</v>
      </c>
      <c r="AY110" s="900"/>
      <c r="AZ110" s="907"/>
      <c r="BA110" s="908"/>
      <c r="BB110" s="900">
        <f t="shared" si="105"/>
        <v>0</v>
      </c>
      <c r="BC110" s="934"/>
      <c r="BD110" s="906">
        <f t="shared" si="106"/>
        <v>0</v>
      </c>
      <c r="BE110" s="900"/>
      <c r="BF110" s="909"/>
      <c r="BG110" s="908"/>
      <c r="BH110" s="900">
        <f t="shared" si="107"/>
        <v>0</v>
      </c>
      <c r="BI110" s="934"/>
      <c r="BJ110" s="906">
        <f t="shared" si="108"/>
        <v>0</v>
      </c>
      <c r="BK110" s="900"/>
      <c r="BL110" s="907"/>
      <c r="BM110" s="908"/>
      <c r="BN110" s="900">
        <f t="shared" si="109"/>
        <v>0</v>
      </c>
      <c r="BO110" s="934"/>
      <c r="BP110" s="906">
        <f t="shared" si="110"/>
        <v>0</v>
      </c>
      <c r="BQ110" s="900"/>
      <c r="BR110" s="907"/>
      <c r="BS110" s="908"/>
      <c r="BT110" s="900">
        <f t="shared" si="111"/>
        <v>0</v>
      </c>
      <c r="BU110" s="934"/>
      <c r="BV110" s="906">
        <f t="shared" si="112"/>
        <v>0</v>
      </c>
      <c r="BW110" s="900"/>
      <c r="BX110" s="907"/>
      <c r="BY110" s="908"/>
      <c r="BZ110" s="900">
        <f t="shared" si="113"/>
        <v>0</v>
      </c>
      <c r="CA110" s="934"/>
      <c r="CB110" s="906">
        <f t="shared" si="114"/>
        <v>0</v>
      </c>
      <c r="CC110" s="900"/>
      <c r="CD110" s="907"/>
      <c r="CE110" s="908"/>
      <c r="CF110" s="900">
        <f t="shared" si="115"/>
        <v>0</v>
      </c>
      <c r="CG110" s="934"/>
      <c r="CH110" s="906">
        <f t="shared" si="116"/>
        <v>0</v>
      </c>
      <c r="CI110" s="900"/>
      <c r="CJ110" s="907"/>
      <c r="CK110" s="908"/>
      <c r="CL110" s="900">
        <f t="shared" si="117"/>
        <v>0</v>
      </c>
      <c r="CM110" s="934"/>
      <c r="CN110" s="906">
        <f t="shared" si="118"/>
        <v>0</v>
      </c>
      <c r="CO110" s="900"/>
      <c r="CP110" s="907"/>
      <c r="CQ110" s="908"/>
      <c r="CR110" s="900">
        <f t="shared" si="119"/>
        <v>0</v>
      </c>
      <c r="CS110" s="934"/>
      <c r="CT110" s="906">
        <f t="shared" si="120"/>
        <v>0</v>
      </c>
    </row>
    <row r="111" spans="2:98" s="888" customFormat="1" ht="12" thickBot="1">
      <c r="B111" s="917" t="s">
        <v>806</v>
      </c>
      <c r="C111" s="894">
        <f t="shared" ref="C111:AH111" si="122">SUM(C104:C110)</f>
        <v>27688748</v>
      </c>
      <c r="D111" s="894">
        <f t="shared" si="122"/>
        <v>0</v>
      </c>
      <c r="E111" s="894">
        <f t="shared" si="122"/>
        <v>0</v>
      </c>
      <c r="F111" s="894">
        <f t="shared" si="122"/>
        <v>27688748</v>
      </c>
      <c r="G111" s="894">
        <f t="shared" si="122"/>
        <v>0</v>
      </c>
      <c r="H111" s="894">
        <f t="shared" si="122"/>
        <v>27688748</v>
      </c>
      <c r="I111" s="894">
        <f t="shared" si="122"/>
        <v>0</v>
      </c>
      <c r="J111" s="894">
        <f t="shared" si="122"/>
        <v>0</v>
      </c>
      <c r="K111" s="894">
        <f t="shared" si="122"/>
        <v>0</v>
      </c>
      <c r="L111" s="894">
        <f t="shared" si="122"/>
        <v>0</v>
      </c>
      <c r="M111" s="894">
        <f t="shared" si="122"/>
        <v>0</v>
      </c>
      <c r="N111" s="894">
        <f t="shared" si="122"/>
        <v>0</v>
      </c>
      <c r="O111" s="894">
        <f t="shared" si="122"/>
        <v>0</v>
      </c>
      <c r="P111" s="894">
        <f t="shared" si="122"/>
        <v>0</v>
      </c>
      <c r="Q111" s="894">
        <f t="shared" si="122"/>
        <v>0</v>
      </c>
      <c r="R111" s="894">
        <f t="shared" si="122"/>
        <v>0</v>
      </c>
      <c r="S111" s="894">
        <f t="shared" si="122"/>
        <v>0</v>
      </c>
      <c r="T111" s="894">
        <f t="shared" si="122"/>
        <v>0</v>
      </c>
      <c r="U111" s="894">
        <f t="shared" si="122"/>
        <v>0</v>
      </c>
      <c r="V111" s="894">
        <f t="shared" si="122"/>
        <v>0</v>
      </c>
      <c r="W111" s="894">
        <f t="shared" si="122"/>
        <v>0</v>
      </c>
      <c r="X111" s="894">
        <f t="shared" si="122"/>
        <v>0</v>
      </c>
      <c r="Y111" s="894">
        <f t="shared" si="122"/>
        <v>0</v>
      </c>
      <c r="Z111" s="894">
        <f t="shared" si="122"/>
        <v>0</v>
      </c>
      <c r="AA111" s="894">
        <f t="shared" si="122"/>
        <v>0</v>
      </c>
      <c r="AB111" s="894">
        <f t="shared" si="122"/>
        <v>0</v>
      </c>
      <c r="AC111" s="894">
        <f t="shared" si="122"/>
        <v>0</v>
      </c>
      <c r="AD111" s="894">
        <f t="shared" si="122"/>
        <v>0</v>
      </c>
      <c r="AE111" s="894">
        <f t="shared" si="122"/>
        <v>0</v>
      </c>
      <c r="AF111" s="894">
        <f t="shared" si="122"/>
        <v>0</v>
      </c>
      <c r="AG111" s="894">
        <f t="shared" si="122"/>
        <v>0</v>
      </c>
      <c r="AH111" s="894">
        <f t="shared" si="122"/>
        <v>0</v>
      </c>
      <c r="AI111" s="894">
        <f t="shared" ref="AI111:CT111" si="123">SUM(AI104:AI110)</f>
        <v>0</v>
      </c>
      <c r="AJ111" s="894">
        <f t="shared" si="123"/>
        <v>0</v>
      </c>
      <c r="AK111" s="894">
        <f t="shared" si="123"/>
        <v>0</v>
      </c>
      <c r="AL111" s="894">
        <f t="shared" si="123"/>
        <v>0</v>
      </c>
      <c r="AM111" s="894">
        <f t="shared" si="123"/>
        <v>0</v>
      </c>
      <c r="AN111" s="894">
        <f t="shared" si="123"/>
        <v>0</v>
      </c>
      <c r="AO111" s="894">
        <f t="shared" si="123"/>
        <v>0</v>
      </c>
      <c r="AP111" s="894">
        <f t="shared" si="123"/>
        <v>0</v>
      </c>
      <c r="AQ111" s="894">
        <f t="shared" si="123"/>
        <v>0</v>
      </c>
      <c r="AR111" s="894">
        <f t="shared" si="123"/>
        <v>0</v>
      </c>
      <c r="AS111" s="894">
        <f t="shared" si="123"/>
        <v>0</v>
      </c>
      <c r="AT111" s="894">
        <f t="shared" si="123"/>
        <v>0</v>
      </c>
      <c r="AU111" s="894">
        <f t="shared" si="123"/>
        <v>0</v>
      </c>
      <c r="AV111" s="894">
        <f t="shared" si="123"/>
        <v>0</v>
      </c>
      <c r="AW111" s="894">
        <f t="shared" si="123"/>
        <v>0</v>
      </c>
      <c r="AX111" s="894">
        <f t="shared" si="123"/>
        <v>0</v>
      </c>
      <c r="AY111" s="894">
        <f t="shared" si="123"/>
        <v>0</v>
      </c>
      <c r="AZ111" s="894">
        <f t="shared" si="123"/>
        <v>0</v>
      </c>
      <c r="BA111" s="894">
        <f t="shared" si="123"/>
        <v>0</v>
      </c>
      <c r="BB111" s="894">
        <f t="shared" si="123"/>
        <v>0</v>
      </c>
      <c r="BC111" s="894">
        <f t="shared" si="123"/>
        <v>0</v>
      </c>
      <c r="BD111" s="894">
        <f t="shared" si="123"/>
        <v>0</v>
      </c>
      <c r="BE111" s="894">
        <f t="shared" si="123"/>
        <v>0</v>
      </c>
      <c r="BF111" s="919">
        <f t="shared" si="123"/>
        <v>0</v>
      </c>
      <c r="BG111" s="894">
        <f t="shared" si="123"/>
        <v>0</v>
      </c>
      <c r="BH111" s="894">
        <f t="shared" si="123"/>
        <v>0</v>
      </c>
      <c r="BI111" s="894">
        <f t="shared" si="123"/>
        <v>0</v>
      </c>
      <c r="BJ111" s="894">
        <f t="shared" si="123"/>
        <v>0</v>
      </c>
      <c r="BK111" s="894">
        <f t="shared" si="123"/>
        <v>0</v>
      </c>
      <c r="BL111" s="894">
        <f t="shared" si="123"/>
        <v>0</v>
      </c>
      <c r="BM111" s="894">
        <f t="shared" si="123"/>
        <v>0</v>
      </c>
      <c r="BN111" s="894">
        <f t="shared" si="123"/>
        <v>0</v>
      </c>
      <c r="BO111" s="894">
        <f t="shared" si="123"/>
        <v>0</v>
      </c>
      <c r="BP111" s="894">
        <f t="shared" si="123"/>
        <v>0</v>
      </c>
      <c r="BQ111" s="894">
        <f t="shared" si="123"/>
        <v>0</v>
      </c>
      <c r="BR111" s="894">
        <f t="shared" si="123"/>
        <v>0</v>
      </c>
      <c r="BS111" s="894">
        <f t="shared" si="123"/>
        <v>0</v>
      </c>
      <c r="BT111" s="894">
        <f t="shared" si="123"/>
        <v>0</v>
      </c>
      <c r="BU111" s="894">
        <f t="shared" si="123"/>
        <v>0</v>
      </c>
      <c r="BV111" s="894">
        <f t="shared" si="123"/>
        <v>0</v>
      </c>
      <c r="BW111" s="894">
        <f t="shared" si="123"/>
        <v>0</v>
      </c>
      <c r="BX111" s="894">
        <f t="shared" si="123"/>
        <v>0</v>
      </c>
      <c r="BY111" s="894">
        <f t="shared" si="123"/>
        <v>0</v>
      </c>
      <c r="BZ111" s="894">
        <f t="shared" si="123"/>
        <v>0</v>
      </c>
      <c r="CA111" s="894">
        <f t="shared" si="123"/>
        <v>0</v>
      </c>
      <c r="CB111" s="894">
        <f t="shared" si="123"/>
        <v>0</v>
      </c>
      <c r="CC111" s="894">
        <f t="shared" si="123"/>
        <v>0</v>
      </c>
      <c r="CD111" s="894">
        <f t="shared" si="123"/>
        <v>0</v>
      </c>
      <c r="CE111" s="894">
        <f t="shared" si="123"/>
        <v>0</v>
      </c>
      <c r="CF111" s="894">
        <f t="shared" si="123"/>
        <v>0</v>
      </c>
      <c r="CG111" s="894">
        <f t="shared" si="123"/>
        <v>0</v>
      </c>
      <c r="CH111" s="894">
        <f t="shared" si="123"/>
        <v>0</v>
      </c>
      <c r="CI111" s="894">
        <f t="shared" si="123"/>
        <v>0</v>
      </c>
      <c r="CJ111" s="894">
        <f t="shared" si="123"/>
        <v>0</v>
      </c>
      <c r="CK111" s="894">
        <f t="shared" si="123"/>
        <v>0</v>
      </c>
      <c r="CL111" s="894">
        <f t="shared" si="123"/>
        <v>0</v>
      </c>
      <c r="CM111" s="894">
        <f t="shared" si="123"/>
        <v>0</v>
      </c>
      <c r="CN111" s="894">
        <f t="shared" si="123"/>
        <v>0</v>
      </c>
      <c r="CO111" s="894">
        <f t="shared" si="123"/>
        <v>27688748</v>
      </c>
      <c r="CP111" s="894">
        <f t="shared" si="123"/>
        <v>0</v>
      </c>
      <c r="CQ111" s="894">
        <f t="shared" si="123"/>
        <v>0</v>
      </c>
      <c r="CR111" s="894">
        <f t="shared" si="123"/>
        <v>27688748</v>
      </c>
      <c r="CS111" s="894">
        <f t="shared" si="123"/>
        <v>0</v>
      </c>
      <c r="CT111" s="894">
        <f t="shared" si="123"/>
        <v>27688748</v>
      </c>
    </row>
    <row r="112" spans="2:98" s="888" customFormat="1" ht="12" thickBot="1">
      <c r="B112" s="917" t="s">
        <v>909</v>
      </c>
      <c r="C112" s="921"/>
      <c r="D112" s="921"/>
      <c r="E112" s="922"/>
      <c r="F112" s="921"/>
      <c r="G112" s="937"/>
      <c r="H112" s="937"/>
      <c r="I112" s="921"/>
      <c r="J112" s="921"/>
      <c r="K112" s="922"/>
      <c r="L112" s="921"/>
      <c r="M112" s="937"/>
      <c r="N112" s="937"/>
      <c r="O112" s="921"/>
      <c r="P112" s="921"/>
      <c r="Q112" s="922"/>
      <c r="R112" s="921"/>
      <c r="S112" s="937"/>
      <c r="T112" s="937"/>
      <c r="U112" s="921"/>
      <c r="V112" s="921"/>
      <c r="W112" s="922"/>
      <c r="X112" s="921"/>
      <c r="Y112" s="937"/>
      <c r="Z112" s="937"/>
      <c r="AA112" s="921"/>
      <c r="AB112" s="921"/>
      <c r="AC112" s="922"/>
      <c r="AD112" s="921"/>
      <c r="AE112" s="937"/>
      <c r="AF112" s="937"/>
      <c r="AG112" s="921"/>
      <c r="AH112" s="921"/>
      <c r="AI112" s="922"/>
      <c r="AJ112" s="921"/>
      <c r="AK112" s="937"/>
      <c r="AL112" s="937"/>
      <c r="AM112" s="921"/>
      <c r="AN112" s="921"/>
      <c r="AO112" s="922"/>
      <c r="AP112" s="921"/>
      <c r="AQ112" s="937"/>
      <c r="AR112" s="937"/>
      <c r="AS112" s="921"/>
      <c r="AT112" s="921"/>
      <c r="AU112" s="922"/>
      <c r="AV112" s="921"/>
      <c r="AW112" s="937"/>
      <c r="AX112" s="937"/>
      <c r="AY112" s="921"/>
      <c r="AZ112" s="921"/>
      <c r="BA112" s="922"/>
      <c r="BB112" s="921"/>
      <c r="BC112" s="937"/>
      <c r="BD112" s="937"/>
      <c r="BE112" s="921"/>
      <c r="BF112" s="923"/>
      <c r="BG112" s="922"/>
      <c r="BH112" s="921"/>
      <c r="BI112" s="937"/>
      <c r="BJ112" s="937"/>
      <c r="BK112" s="921"/>
      <c r="BL112" s="921"/>
      <c r="BM112" s="922"/>
      <c r="BN112" s="921"/>
      <c r="BO112" s="937"/>
      <c r="BP112" s="937"/>
      <c r="BQ112" s="921"/>
      <c r="BR112" s="921"/>
      <c r="BS112" s="922"/>
      <c r="BT112" s="921"/>
      <c r="BU112" s="937"/>
      <c r="BV112" s="937"/>
      <c r="BW112" s="921"/>
      <c r="BX112" s="921"/>
      <c r="BY112" s="922"/>
      <c r="BZ112" s="921"/>
      <c r="CA112" s="937"/>
      <c r="CB112" s="937"/>
      <c r="CC112" s="921"/>
      <c r="CD112" s="921"/>
      <c r="CE112" s="922"/>
      <c r="CF112" s="921"/>
      <c r="CG112" s="937"/>
      <c r="CH112" s="937"/>
      <c r="CI112" s="921"/>
      <c r="CJ112" s="921"/>
      <c r="CK112" s="922"/>
      <c r="CL112" s="921"/>
      <c r="CM112" s="937"/>
      <c r="CN112" s="937"/>
      <c r="CO112" s="921"/>
      <c r="CP112" s="921"/>
      <c r="CQ112" s="922"/>
      <c r="CR112" s="921"/>
      <c r="CS112" s="937"/>
      <c r="CT112" s="937"/>
    </row>
    <row r="113" spans="2:98" s="888" customFormat="1">
      <c r="B113" s="924"/>
      <c r="C113" s="885"/>
      <c r="D113" s="885"/>
      <c r="E113" s="885"/>
      <c r="F113" s="885"/>
      <c r="G113" s="885"/>
      <c r="H113" s="885"/>
      <c r="I113" s="885"/>
      <c r="J113" s="885"/>
      <c r="K113" s="885"/>
      <c r="L113" s="885"/>
      <c r="M113" s="885"/>
      <c r="N113" s="885"/>
      <c r="O113" s="885"/>
      <c r="P113" s="885"/>
      <c r="Q113" s="885"/>
      <c r="R113" s="885"/>
      <c r="S113" s="885"/>
      <c r="T113" s="885"/>
      <c r="U113" s="885"/>
      <c r="V113" s="885"/>
      <c r="W113" s="885"/>
      <c r="X113" s="885"/>
      <c r="Y113" s="885"/>
      <c r="Z113" s="885"/>
      <c r="AA113" s="885"/>
      <c r="AB113" s="885"/>
      <c r="AC113" s="885"/>
      <c r="AD113" s="885"/>
      <c r="AE113" s="885"/>
      <c r="AF113" s="885"/>
      <c r="AG113" s="885"/>
      <c r="AH113" s="885"/>
      <c r="AI113" s="885"/>
      <c r="AJ113" s="885"/>
      <c r="AK113" s="885"/>
      <c r="AL113" s="885"/>
      <c r="AM113" s="885"/>
      <c r="AN113" s="885"/>
      <c r="AO113" s="885"/>
      <c r="AP113" s="885"/>
      <c r="AQ113" s="885"/>
      <c r="AR113" s="885"/>
      <c r="AS113" s="885"/>
      <c r="AT113" s="885"/>
      <c r="AU113" s="885"/>
      <c r="AV113" s="885"/>
      <c r="AW113" s="885"/>
      <c r="AX113" s="885"/>
      <c r="AY113" s="885"/>
      <c r="AZ113" s="885"/>
      <c r="BA113" s="885"/>
      <c r="BB113" s="885"/>
      <c r="BC113" s="885"/>
      <c r="BD113" s="885"/>
      <c r="BE113" s="885"/>
      <c r="BF113" s="886"/>
      <c r="BG113" s="885"/>
      <c r="BH113" s="885"/>
      <c r="BI113" s="885"/>
      <c r="BJ113" s="885"/>
      <c r="BK113" s="885"/>
      <c r="BL113" s="885"/>
      <c r="BM113" s="885"/>
      <c r="BN113" s="885"/>
      <c r="BO113" s="885"/>
      <c r="BP113" s="885"/>
      <c r="BQ113" s="885"/>
      <c r="BR113" s="885"/>
      <c r="BS113" s="885"/>
      <c r="BT113" s="885"/>
      <c r="BU113" s="885"/>
      <c r="BV113" s="885"/>
      <c r="BW113" s="885"/>
      <c r="BX113" s="885"/>
      <c r="BY113" s="885"/>
      <c r="BZ113" s="885"/>
      <c r="CA113" s="885"/>
      <c r="CB113" s="885"/>
      <c r="CC113" s="885"/>
      <c r="CD113" s="885"/>
      <c r="CE113" s="885"/>
      <c r="CF113" s="885"/>
      <c r="CG113" s="885"/>
      <c r="CH113" s="885"/>
      <c r="CI113" s="885"/>
      <c r="CJ113" s="885"/>
      <c r="CK113" s="885"/>
      <c r="CL113" s="885"/>
      <c r="CM113" s="885"/>
      <c r="CN113" s="885"/>
      <c r="CO113" s="885"/>
      <c r="CP113" s="885"/>
      <c r="CQ113" s="885"/>
      <c r="CR113" s="885"/>
      <c r="CS113" s="885"/>
      <c r="CT113" s="885"/>
    </row>
    <row r="117" spans="2:98" ht="21.75">
      <c r="B117" s="884" t="s">
        <v>49</v>
      </c>
    </row>
    <row r="118" spans="2:98" ht="12" thickBot="1">
      <c r="B118" s="925"/>
      <c r="H118" s="888" t="s">
        <v>699</v>
      </c>
      <c r="N118" s="888" t="s">
        <v>699</v>
      </c>
      <c r="T118" s="888" t="s">
        <v>699</v>
      </c>
      <c r="Z118" s="888" t="s">
        <v>699</v>
      </c>
      <c r="AF118" s="888" t="s">
        <v>699</v>
      </c>
      <c r="AL118" s="888" t="s">
        <v>699</v>
      </c>
      <c r="AR118" s="888" t="s">
        <v>699</v>
      </c>
      <c r="AX118" s="888" t="s">
        <v>699</v>
      </c>
      <c r="BD118" s="888" t="s">
        <v>699</v>
      </c>
      <c r="BJ118" s="888" t="s">
        <v>699</v>
      </c>
      <c r="BP118" s="888" t="s">
        <v>699</v>
      </c>
      <c r="BV118" s="888"/>
      <c r="CB118" s="888"/>
      <c r="CH118" s="888"/>
      <c r="CN118" s="888"/>
      <c r="CT118" s="888"/>
    </row>
    <row r="119" spans="2:98" s="888" customFormat="1" ht="12" customHeight="1" thickBot="1">
      <c r="B119" s="941" t="s">
        <v>352</v>
      </c>
      <c r="C119" s="1614" t="s">
        <v>860</v>
      </c>
      <c r="D119" s="1615"/>
      <c r="E119" s="1615"/>
      <c r="F119" s="1615"/>
      <c r="G119" s="1615"/>
      <c r="H119" s="1616"/>
      <c r="I119" s="1617" t="s">
        <v>17</v>
      </c>
      <c r="J119" s="1618"/>
      <c r="K119" s="1618"/>
      <c r="L119" s="1618"/>
      <c r="M119" s="1618"/>
      <c r="N119" s="1619"/>
      <c r="O119" s="1614" t="s">
        <v>18</v>
      </c>
      <c r="P119" s="1615"/>
      <c r="Q119" s="1615"/>
      <c r="R119" s="1615"/>
      <c r="S119" s="1615"/>
      <c r="T119" s="1616"/>
      <c r="U119" s="1617" t="s">
        <v>19</v>
      </c>
      <c r="V119" s="1618"/>
      <c r="W119" s="1618"/>
      <c r="X119" s="1618"/>
      <c r="Y119" s="1618"/>
      <c r="Z119" s="1619"/>
      <c r="AA119" s="1614" t="s">
        <v>20</v>
      </c>
      <c r="AB119" s="1615"/>
      <c r="AC119" s="1615"/>
      <c r="AD119" s="1615"/>
      <c r="AE119" s="1615"/>
      <c r="AF119" s="1616"/>
      <c r="AG119" s="1617" t="s">
        <v>21</v>
      </c>
      <c r="AH119" s="1618"/>
      <c r="AI119" s="1618"/>
      <c r="AJ119" s="1618"/>
      <c r="AK119" s="1618"/>
      <c r="AL119" s="1619"/>
      <c r="AM119" s="1614" t="s">
        <v>22</v>
      </c>
      <c r="AN119" s="1615"/>
      <c r="AO119" s="1615"/>
      <c r="AP119" s="1615"/>
      <c r="AQ119" s="1615"/>
      <c r="AR119" s="1616"/>
      <c r="AS119" s="1617" t="s">
        <v>23</v>
      </c>
      <c r="AT119" s="1618"/>
      <c r="AU119" s="1618"/>
      <c r="AV119" s="1618"/>
      <c r="AW119" s="1618"/>
      <c r="AX119" s="1619"/>
      <c r="AY119" s="1614" t="s">
        <v>24</v>
      </c>
      <c r="AZ119" s="1615"/>
      <c r="BA119" s="1615"/>
      <c r="BB119" s="1615"/>
      <c r="BC119" s="1615"/>
      <c r="BD119" s="1616"/>
      <c r="BE119" s="1617" t="s">
        <v>25</v>
      </c>
      <c r="BF119" s="1618"/>
      <c r="BG119" s="1618"/>
      <c r="BH119" s="1618"/>
      <c r="BI119" s="1618"/>
      <c r="BJ119" s="1619"/>
      <c r="BK119" s="1614" t="s">
        <v>26</v>
      </c>
      <c r="BL119" s="1615"/>
      <c r="BM119" s="1615"/>
      <c r="BN119" s="1615"/>
      <c r="BO119" s="1615"/>
      <c r="BP119" s="1616"/>
      <c r="BQ119" s="1617" t="s">
        <v>27</v>
      </c>
      <c r="BR119" s="1618"/>
      <c r="BS119" s="1618"/>
      <c r="BT119" s="1618"/>
      <c r="BU119" s="1618"/>
      <c r="BV119" s="1619"/>
      <c r="BW119" s="1614" t="s">
        <v>28</v>
      </c>
      <c r="BX119" s="1615"/>
      <c r="BY119" s="1615"/>
      <c r="BZ119" s="1615"/>
      <c r="CA119" s="1615"/>
      <c r="CB119" s="1616"/>
      <c r="CC119" s="1617" t="s">
        <v>697</v>
      </c>
      <c r="CD119" s="1618"/>
      <c r="CE119" s="1618"/>
      <c r="CF119" s="1618"/>
      <c r="CG119" s="1618"/>
      <c r="CH119" s="1619"/>
      <c r="CI119" s="1614" t="s">
        <v>30</v>
      </c>
      <c r="CJ119" s="1615"/>
      <c r="CK119" s="1615"/>
      <c r="CL119" s="1615"/>
      <c r="CM119" s="1615"/>
      <c r="CN119" s="1616"/>
      <c r="CO119" s="1617" t="s">
        <v>31</v>
      </c>
      <c r="CP119" s="1618"/>
      <c r="CQ119" s="1618"/>
      <c r="CR119" s="1618"/>
      <c r="CS119" s="1618"/>
      <c r="CT119" s="1619"/>
    </row>
    <row r="120" spans="2:98" ht="57" thickBot="1">
      <c r="B120" s="964"/>
      <c r="C120" s="942" t="s">
        <v>1306</v>
      </c>
      <c r="D120" s="928" t="s">
        <v>906</v>
      </c>
      <c r="E120" s="929" t="s">
        <v>39</v>
      </c>
      <c r="F120" s="928" t="s">
        <v>40</v>
      </c>
      <c r="G120" s="930" t="s">
        <v>907</v>
      </c>
      <c r="H120" s="943" t="s">
        <v>1225</v>
      </c>
      <c r="I120" s="942" t="s">
        <v>1306</v>
      </c>
      <c r="J120" s="928" t="s">
        <v>906</v>
      </c>
      <c r="K120" s="929" t="s">
        <v>39</v>
      </c>
      <c r="L120" s="928" t="s">
        <v>40</v>
      </c>
      <c r="M120" s="930" t="s">
        <v>907</v>
      </c>
      <c r="N120" s="943" t="s">
        <v>1225</v>
      </c>
      <c r="O120" s="942" t="s">
        <v>1306</v>
      </c>
      <c r="P120" s="928" t="s">
        <v>906</v>
      </c>
      <c r="Q120" s="929" t="s">
        <v>39</v>
      </c>
      <c r="R120" s="928" t="s">
        <v>40</v>
      </c>
      <c r="S120" s="930" t="s">
        <v>907</v>
      </c>
      <c r="T120" s="943" t="s">
        <v>1225</v>
      </c>
      <c r="U120" s="942" t="s">
        <v>1306</v>
      </c>
      <c r="V120" s="928" t="s">
        <v>906</v>
      </c>
      <c r="W120" s="929" t="s">
        <v>39</v>
      </c>
      <c r="X120" s="928" t="s">
        <v>40</v>
      </c>
      <c r="Y120" s="930" t="s">
        <v>907</v>
      </c>
      <c r="Z120" s="943" t="s">
        <v>1225</v>
      </c>
      <c r="AA120" s="942" t="s">
        <v>1306</v>
      </c>
      <c r="AB120" s="928" t="s">
        <v>906</v>
      </c>
      <c r="AC120" s="929" t="s">
        <v>39</v>
      </c>
      <c r="AD120" s="928" t="s">
        <v>40</v>
      </c>
      <c r="AE120" s="930" t="s">
        <v>907</v>
      </c>
      <c r="AF120" s="943" t="s">
        <v>1225</v>
      </c>
      <c r="AG120" s="942" t="s">
        <v>1306</v>
      </c>
      <c r="AH120" s="928" t="s">
        <v>906</v>
      </c>
      <c r="AI120" s="929" t="s">
        <v>39</v>
      </c>
      <c r="AJ120" s="928" t="s">
        <v>40</v>
      </c>
      <c r="AK120" s="930" t="s">
        <v>907</v>
      </c>
      <c r="AL120" s="943" t="s">
        <v>1225</v>
      </c>
      <c r="AM120" s="942" t="s">
        <v>1306</v>
      </c>
      <c r="AN120" s="928" t="s">
        <v>906</v>
      </c>
      <c r="AO120" s="929" t="s">
        <v>39</v>
      </c>
      <c r="AP120" s="928" t="s">
        <v>40</v>
      </c>
      <c r="AQ120" s="930" t="s">
        <v>907</v>
      </c>
      <c r="AR120" s="943" t="s">
        <v>1225</v>
      </c>
      <c r="AS120" s="942" t="s">
        <v>1306</v>
      </c>
      <c r="AT120" s="928" t="s">
        <v>906</v>
      </c>
      <c r="AU120" s="929" t="s">
        <v>39</v>
      </c>
      <c r="AV120" s="928" t="s">
        <v>40</v>
      </c>
      <c r="AW120" s="930" t="s">
        <v>907</v>
      </c>
      <c r="AX120" s="943" t="s">
        <v>1225</v>
      </c>
      <c r="AY120" s="942" t="s">
        <v>1306</v>
      </c>
      <c r="AZ120" s="928" t="s">
        <v>906</v>
      </c>
      <c r="BA120" s="929" t="s">
        <v>39</v>
      </c>
      <c r="BB120" s="928" t="s">
        <v>40</v>
      </c>
      <c r="BC120" s="930" t="s">
        <v>907</v>
      </c>
      <c r="BD120" s="943" t="s">
        <v>1225</v>
      </c>
      <c r="BE120" s="942" t="s">
        <v>1306</v>
      </c>
      <c r="BF120" s="931" t="s">
        <v>906</v>
      </c>
      <c r="BG120" s="929" t="s">
        <v>39</v>
      </c>
      <c r="BH120" s="928" t="s">
        <v>40</v>
      </c>
      <c r="BI120" s="930" t="s">
        <v>907</v>
      </c>
      <c r="BJ120" s="943" t="s">
        <v>1225</v>
      </c>
      <c r="BK120" s="942" t="s">
        <v>1306</v>
      </c>
      <c r="BL120" s="928" t="s">
        <v>906</v>
      </c>
      <c r="BM120" s="929" t="s">
        <v>39</v>
      </c>
      <c r="BN120" s="928" t="s">
        <v>40</v>
      </c>
      <c r="BO120" s="930" t="s">
        <v>907</v>
      </c>
      <c r="BP120" s="943" t="s">
        <v>1225</v>
      </c>
      <c r="BQ120" s="942" t="s">
        <v>1306</v>
      </c>
      <c r="BR120" s="928" t="s">
        <v>906</v>
      </c>
      <c r="BS120" s="929" t="s">
        <v>39</v>
      </c>
      <c r="BT120" s="928" t="s">
        <v>40</v>
      </c>
      <c r="BU120" s="930" t="s">
        <v>907</v>
      </c>
      <c r="BV120" s="943" t="s">
        <v>1225</v>
      </c>
      <c r="BW120" s="942" t="s">
        <v>1306</v>
      </c>
      <c r="BX120" s="928" t="s">
        <v>906</v>
      </c>
      <c r="BY120" s="929" t="s">
        <v>39</v>
      </c>
      <c r="BZ120" s="928" t="s">
        <v>40</v>
      </c>
      <c r="CA120" s="930" t="s">
        <v>907</v>
      </c>
      <c r="CB120" s="943" t="s">
        <v>1225</v>
      </c>
      <c r="CC120" s="942" t="s">
        <v>1306</v>
      </c>
      <c r="CD120" s="928" t="s">
        <v>906</v>
      </c>
      <c r="CE120" s="929" t="s">
        <v>39</v>
      </c>
      <c r="CF120" s="928" t="s">
        <v>40</v>
      </c>
      <c r="CG120" s="930" t="s">
        <v>907</v>
      </c>
      <c r="CH120" s="943" t="s">
        <v>1225</v>
      </c>
      <c r="CI120" s="942" t="s">
        <v>1306</v>
      </c>
      <c r="CJ120" s="928" t="s">
        <v>906</v>
      </c>
      <c r="CK120" s="929" t="s">
        <v>39</v>
      </c>
      <c r="CL120" s="928" t="s">
        <v>40</v>
      </c>
      <c r="CM120" s="930" t="s">
        <v>907</v>
      </c>
      <c r="CN120" s="943" t="s">
        <v>1225</v>
      </c>
      <c r="CO120" s="942" t="s">
        <v>1306</v>
      </c>
      <c r="CP120" s="928" t="s">
        <v>906</v>
      </c>
      <c r="CQ120" s="929" t="s">
        <v>39</v>
      </c>
      <c r="CR120" s="928" t="s">
        <v>40</v>
      </c>
      <c r="CS120" s="930" t="s">
        <v>907</v>
      </c>
      <c r="CT120" s="943" t="s">
        <v>1225</v>
      </c>
    </row>
    <row r="121" spans="2:98">
      <c r="B121" s="911" t="s">
        <v>41</v>
      </c>
      <c r="C121" s="898">
        <f t="shared" ref="C121:G122" si="124">I121+O121+U121+AA121+AG121+AM121+AS121+AY121+BE121+BK121+BR121+BW121+CC121+CI121+CO121</f>
        <v>0</v>
      </c>
      <c r="D121" s="898">
        <f t="shared" si="124"/>
        <v>0</v>
      </c>
      <c r="E121" s="898">
        <f t="shared" si="124"/>
        <v>0</v>
      </c>
      <c r="F121" s="898">
        <f t="shared" si="124"/>
        <v>0</v>
      </c>
      <c r="G121" s="898">
        <f t="shared" si="124"/>
        <v>0</v>
      </c>
      <c r="H121" s="899">
        <f>+C121+D121+E121+F121-G121</f>
        <v>0</v>
      </c>
      <c r="I121" s="898"/>
      <c r="J121" s="901"/>
      <c r="K121" s="902"/>
      <c r="L121" s="901"/>
      <c r="M121" s="933"/>
      <c r="N121" s="899">
        <f>+I121+J121+K121+L121-M121</f>
        <v>0</v>
      </c>
      <c r="O121" s="898"/>
      <c r="P121" s="901"/>
      <c r="Q121" s="902"/>
      <c r="R121" s="901"/>
      <c r="S121" s="933"/>
      <c r="T121" s="899">
        <f>+O121+P121+Q121+R121-S121</f>
        <v>0</v>
      </c>
      <c r="U121" s="898"/>
      <c r="V121" s="901"/>
      <c r="W121" s="902"/>
      <c r="X121" s="901"/>
      <c r="Y121" s="933"/>
      <c r="Z121" s="899">
        <f>+U121+V121+W121+X121-Y121</f>
        <v>0</v>
      </c>
      <c r="AA121" s="898"/>
      <c r="AB121" s="901"/>
      <c r="AC121" s="902"/>
      <c r="AD121" s="901"/>
      <c r="AE121" s="933"/>
      <c r="AF121" s="899">
        <f>+AA121+AB121+AC121+AD121-AE121</f>
        <v>0</v>
      </c>
      <c r="AG121" s="898"/>
      <c r="AH121" s="901"/>
      <c r="AI121" s="902"/>
      <c r="AJ121" s="901"/>
      <c r="AK121" s="933"/>
      <c r="AL121" s="899">
        <f>+AG121+AH121+AI121+AJ121-AK121</f>
        <v>0</v>
      </c>
      <c r="AM121" s="898"/>
      <c r="AN121" s="901"/>
      <c r="AO121" s="902"/>
      <c r="AP121" s="901"/>
      <c r="AQ121" s="933"/>
      <c r="AR121" s="899">
        <f>+AM121+AN121+AO121+AP121-AQ121</f>
        <v>0</v>
      </c>
      <c r="AS121" s="898"/>
      <c r="AT121" s="901"/>
      <c r="AU121" s="902"/>
      <c r="AV121" s="901"/>
      <c r="AW121" s="933"/>
      <c r="AX121" s="899">
        <f>+AS121+AT121+AU121+AV121-AW121</f>
        <v>0</v>
      </c>
      <c r="AY121" s="898"/>
      <c r="AZ121" s="901"/>
      <c r="BA121" s="902"/>
      <c r="BB121" s="901"/>
      <c r="BC121" s="933"/>
      <c r="BD121" s="899">
        <f>+AY121+AZ121+BA121+BB121-BC121</f>
        <v>0</v>
      </c>
      <c r="BE121" s="898"/>
      <c r="BF121" s="903"/>
      <c r="BG121" s="902"/>
      <c r="BH121" s="901"/>
      <c r="BI121" s="933"/>
      <c r="BJ121" s="899">
        <f>+BE121+BF121+BG121+BH121-BI121</f>
        <v>0</v>
      </c>
      <c r="BK121" s="898"/>
      <c r="BL121" s="901"/>
      <c r="BM121" s="902"/>
      <c r="BN121" s="901"/>
      <c r="BO121" s="933"/>
      <c r="BP121" s="899">
        <f>+BK121+BL121+BM121+BN121-BO121</f>
        <v>0</v>
      </c>
      <c r="BQ121" s="898"/>
      <c r="BR121" s="901"/>
      <c r="BS121" s="902"/>
      <c r="BT121" s="901"/>
      <c r="BU121" s="933"/>
      <c r="BV121" s="899">
        <f>+BQ121+BR121+BS121+BT121-BU121</f>
        <v>0</v>
      </c>
      <c r="BW121" s="898"/>
      <c r="BX121" s="901"/>
      <c r="BY121" s="902"/>
      <c r="BZ121" s="901"/>
      <c r="CA121" s="933"/>
      <c r="CB121" s="899">
        <f>+BW121+BX121+BY121+BZ121-CA121</f>
        <v>0</v>
      </c>
      <c r="CC121" s="898"/>
      <c r="CD121" s="901"/>
      <c r="CE121" s="902"/>
      <c r="CF121" s="901"/>
      <c r="CG121" s="933"/>
      <c r="CH121" s="899">
        <f>+CC121+CD121+CE121+CF121-CG121</f>
        <v>0</v>
      </c>
      <c r="CI121" s="898"/>
      <c r="CJ121" s="901"/>
      <c r="CK121" s="902"/>
      <c r="CL121" s="901"/>
      <c r="CM121" s="933"/>
      <c r="CN121" s="899">
        <f>+CI121+CJ121+CK121+CL121-CM121</f>
        <v>0</v>
      </c>
      <c r="CO121" s="898"/>
      <c r="CP121" s="901"/>
      <c r="CQ121" s="902"/>
      <c r="CR121" s="901"/>
      <c r="CS121" s="933"/>
      <c r="CT121" s="899">
        <f>+CO121+CP121+CQ121+CR121-CS121</f>
        <v>0</v>
      </c>
    </row>
    <row r="122" spans="2:98" ht="12" thickBot="1">
      <c r="B122" s="911" t="s">
        <v>879</v>
      </c>
      <c r="C122" s="921">
        <f t="shared" si="124"/>
        <v>0</v>
      </c>
      <c r="D122" s="921">
        <f t="shared" si="124"/>
        <v>0</v>
      </c>
      <c r="E122" s="921">
        <f t="shared" si="124"/>
        <v>0</v>
      </c>
      <c r="F122" s="921">
        <f t="shared" si="124"/>
        <v>0</v>
      </c>
      <c r="G122" s="921">
        <f t="shared" si="124"/>
        <v>0</v>
      </c>
      <c r="H122" s="944">
        <f>+C122+D122+E122+F122-G122</f>
        <v>0</v>
      </c>
      <c r="I122" s="900"/>
      <c r="J122" s="907"/>
      <c r="K122" s="908"/>
      <c r="L122" s="945"/>
      <c r="M122" s="934"/>
      <c r="N122" s="944">
        <f>+I122+J122+K122+L122-M122</f>
        <v>0</v>
      </c>
      <c r="O122" s="900"/>
      <c r="P122" s="907"/>
      <c r="Q122" s="908"/>
      <c r="R122" s="945"/>
      <c r="S122" s="934"/>
      <c r="T122" s="944">
        <f>+O122+P122+Q122+R122-S122</f>
        <v>0</v>
      </c>
      <c r="U122" s="900"/>
      <c r="V122" s="907"/>
      <c r="W122" s="908"/>
      <c r="X122" s="945"/>
      <c r="Y122" s="934"/>
      <c r="Z122" s="944">
        <f>+U122+V122+W122+X122-Y122</f>
        <v>0</v>
      </c>
      <c r="AA122" s="900"/>
      <c r="AB122" s="907"/>
      <c r="AC122" s="908"/>
      <c r="AD122" s="945"/>
      <c r="AE122" s="934"/>
      <c r="AF122" s="944">
        <f>+AA122+AB122+AC122+AD122-AE122</f>
        <v>0</v>
      </c>
      <c r="AG122" s="900"/>
      <c r="AH122" s="907"/>
      <c r="AI122" s="908"/>
      <c r="AJ122" s="945"/>
      <c r="AK122" s="934"/>
      <c r="AL122" s="944">
        <f>+AG122+AH122+AI122+AJ122-AK122</f>
        <v>0</v>
      </c>
      <c r="AM122" s="900"/>
      <c r="AN122" s="907"/>
      <c r="AO122" s="908"/>
      <c r="AP122" s="945"/>
      <c r="AQ122" s="934"/>
      <c r="AR122" s="944">
        <f>+AM122+AN122+AO122+AP122-AQ122</f>
        <v>0</v>
      </c>
      <c r="AS122" s="900"/>
      <c r="AT122" s="907"/>
      <c r="AU122" s="908"/>
      <c r="AV122" s="945"/>
      <c r="AW122" s="934"/>
      <c r="AX122" s="944">
        <f>+AS122+AT122+AU122+AV122-AW122</f>
        <v>0</v>
      </c>
      <c r="AY122" s="900"/>
      <c r="AZ122" s="907"/>
      <c r="BA122" s="908"/>
      <c r="BB122" s="945"/>
      <c r="BC122" s="934"/>
      <c r="BD122" s="944">
        <f>+AY122+AZ122+BA122+BB122-BC122</f>
        <v>0</v>
      </c>
      <c r="BE122" s="900"/>
      <c r="BF122" s="909"/>
      <c r="BG122" s="908"/>
      <c r="BH122" s="945"/>
      <c r="BI122" s="934"/>
      <c r="BJ122" s="944">
        <f>+BE122+BF122+BG122+BH122-BI122</f>
        <v>0</v>
      </c>
      <c r="BK122" s="900"/>
      <c r="BL122" s="907"/>
      <c r="BM122" s="908"/>
      <c r="BN122" s="945"/>
      <c r="BO122" s="934"/>
      <c r="BP122" s="944">
        <f>+BK122+BL122+BM122+BN122-BO122</f>
        <v>0</v>
      </c>
      <c r="BQ122" s="900"/>
      <c r="BR122" s="907"/>
      <c r="BS122" s="908"/>
      <c r="BT122" s="945"/>
      <c r="BU122" s="934"/>
      <c r="BV122" s="944">
        <f>+BQ122+BR122+BS122+BT122-BU122</f>
        <v>0</v>
      </c>
      <c r="BW122" s="900"/>
      <c r="BX122" s="907"/>
      <c r="BY122" s="908"/>
      <c r="BZ122" s="945"/>
      <c r="CA122" s="934"/>
      <c r="CB122" s="944">
        <f>+BW122+BX122+BY122+BZ122-CA122</f>
        <v>0</v>
      </c>
      <c r="CC122" s="900"/>
      <c r="CD122" s="907"/>
      <c r="CE122" s="908"/>
      <c r="CF122" s="945"/>
      <c r="CG122" s="934"/>
      <c r="CH122" s="944">
        <f>+CC122+CD122+CE122+CF122-CG122</f>
        <v>0</v>
      </c>
      <c r="CI122" s="900"/>
      <c r="CJ122" s="907"/>
      <c r="CK122" s="908"/>
      <c r="CL122" s="945"/>
      <c r="CM122" s="934"/>
      <c r="CN122" s="944">
        <f>+CI122+CJ122+CK122+CL122-CM122</f>
        <v>0</v>
      </c>
      <c r="CO122" s="900"/>
      <c r="CP122" s="907"/>
      <c r="CQ122" s="908"/>
      <c r="CR122" s="945"/>
      <c r="CS122" s="934"/>
      <c r="CT122" s="944">
        <f>+CO122+CP122+CQ122+CR122-CS122</f>
        <v>0</v>
      </c>
    </row>
    <row r="123" spans="2:98" ht="12" thickBot="1">
      <c r="B123" s="917" t="s">
        <v>806</v>
      </c>
      <c r="C123" s="894">
        <f t="shared" ref="C123:BN123" si="125">+C121+C122</f>
        <v>0</v>
      </c>
      <c r="D123" s="894">
        <f t="shared" si="125"/>
        <v>0</v>
      </c>
      <c r="E123" s="894">
        <f t="shared" si="125"/>
        <v>0</v>
      </c>
      <c r="F123" s="894">
        <f t="shared" si="125"/>
        <v>0</v>
      </c>
      <c r="G123" s="894">
        <f t="shared" si="125"/>
        <v>0</v>
      </c>
      <c r="H123" s="894">
        <f t="shared" si="125"/>
        <v>0</v>
      </c>
      <c r="I123" s="894">
        <f t="shared" si="125"/>
        <v>0</v>
      </c>
      <c r="J123" s="894">
        <f t="shared" si="125"/>
        <v>0</v>
      </c>
      <c r="K123" s="894">
        <f t="shared" si="125"/>
        <v>0</v>
      </c>
      <c r="L123" s="894">
        <f t="shared" si="125"/>
        <v>0</v>
      </c>
      <c r="M123" s="894">
        <f t="shared" si="125"/>
        <v>0</v>
      </c>
      <c r="N123" s="894">
        <f t="shared" si="125"/>
        <v>0</v>
      </c>
      <c r="O123" s="894">
        <f t="shared" si="125"/>
        <v>0</v>
      </c>
      <c r="P123" s="894">
        <f t="shared" si="125"/>
        <v>0</v>
      </c>
      <c r="Q123" s="894">
        <f t="shared" si="125"/>
        <v>0</v>
      </c>
      <c r="R123" s="894">
        <f t="shared" si="125"/>
        <v>0</v>
      </c>
      <c r="S123" s="894">
        <f t="shared" si="125"/>
        <v>0</v>
      </c>
      <c r="T123" s="894">
        <f t="shared" si="125"/>
        <v>0</v>
      </c>
      <c r="U123" s="894">
        <f t="shared" si="125"/>
        <v>0</v>
      </c>
      <c r="V123" s="894">
        <f t="shared" si="125"/>
        <v>0</v>
      </c>
      <c r="W123" s="894">
        <f t="shared" si="125"/>
        <v>0</v>
      </c>
      <c r="X123" s="894">
        <f t="shared" si="125"/>
        <v>0</v>
      </c>
      <c r="Y123" s="894">
        <f t="shared" si="125"/>
        <v>0</v>
      </c>
      <c r="Z123" s="894">
        <f t="shared" si="125"/>
        <v>0</v>
      </c>
      <c r="AA123" s="894">
        <f t="shared" si="125"/>
        <v>0</v>
      </c>
      <c r="AB123" s="894">
        <f t="shared" si="125"/>
        <v>0</v>
      </c>
      <c r="AC123" s="894">
        <f t="shared" si="125"/>
        <v>0</v>
      </c>
      <c r="AD123" s="894">
        <f t="shared" si="125"/>
        <v>0</v>
      </c>
      <c r="AE123" s="894">
        <f t="shared" si="125"/>
        <v>0</v>
      </c>
      <c r="AF123" s="894">
        <f t="shared" si="125"/>
        <v>0</v>
      </c>
      <c r="AG123" s="894">
        <f t="shared" si="125"/>
        <v>0</v>
      </c>
      <c r="AH123" s="894">
        <f t="shared" si="125"/>
        <v>0</v>
      </c>
      <c r="AI123" s="894">
        <f t="shared" si="125"/>
        <v>0</v>
      </c>
      <c r="AJ123" s="894">
        <f t="shared" si="125"/>
        <v>0</v>
      </c>
      <c r="AK123" s="894">
        <f t="shared" si="125"/>
        <v>0</v>
      </c>
      <c r="AL123" s="894">
        <f t="shared" si="125"/>
        <v>0</v>
      </c>
      <c r="AM123" s="894">
        <f t="shared" si="125"/>
        <v>0</v>
      </c>
      <c r="AN123" s="894">
        <f t="shared" si="125"/>
        <v>0</v>
      </c>
      <c r="AO123" s="894">
        <f t="shared" si="125"/>
        <v>0</v>
      </c>
      <c r="AP123" s="894">
        <f t="shared" si="125"/>
        <v>0</v>
      </c>
      <c r="AQ123" s="894">
        <f t="shared" si="125"/>
        <v>0</v>
      </c>
      <c r="AR123" s="894">
        <f t="shared" si="125"/>
        <v>0</v>
      </c>
      <c r="AS123" s="894">
        <f t="shared" si="125"/>
        <v>0</v>
      </c>
      <c r="AT123" s="894">
        <f t="shared" si="125"/>
        <v>0</v>
      </c>
      <c r="AU123" s="894">
        <f t="shared" si="125"/>
        <v>0</v>
      </c>
      <c r="AV123" s="894">
        <f t="shared" si="125"/>
        <v>0</v>
      </c>
      <c r="AW123" s="894">
        <f t="shared" si="125"/>
        <v>0</v>
      </c>
      <c r="AX123" s="894">
        <f t="shared" si="125"/>
        <v>0</v>
      </c>
      <c r="AY123" s="894">
        <f t="shared" si="125"/>
        <v>0</v>
      </c>
      <c r="AZ123" s="894">
        <f t="shared" si="125"/>
        <v>0</v>
      </c>
      <c r="BA123" s="894">
        <f t="shared" si="125"/>
        <v>0</v>
      </c>
      <c r="BB123" s="894">
        <f t="shared" si="125"/>
        <v>0</v>
      </c>
      <c r="BC123" s="894">
        <f t="shared" si="125"/>
        <v>0</v>
      </c>
      <c r="BD123" s="894">
        <f t="shared" si="125"/>
        <v>0</v>
      </c>
      <c r="BE123" s="894">
        <f t="shared" si="125"/>
        <v>0</v>
      </c>
      <c r="BF123" s="919">
        <f t="shared" si="125"/>
        <v>0</v>
      </c>
      <c r="BG123" s="894">
        <f t="shared" si="125"/>
        <v>0</v>
      </c>
      <c r="BH123" s="894">
        <f t="shared" si="125"/>
        <v>0</v>
      </c>
      <c r="BI123" s="894">
        <f t="shared" si="125"/>
        <v>0</v>
      </c>
      <c r="BJ123" s="894">
        <f t="shared" si="125"/>
        <v>0</v>
      </c>
      <c r="BK123" s="894">
        <f t="shared" si="125"/>
        <v>0</v>
      </c>
      <c r="BL123" s="894">
        <f t="shared" si="125"/>
        <v>0</v>
      </c>
      <c r="BM123" s="894">
        <f t="shared" si="125"/>
        <v>0</v>
      </c>
      <c r="BN123" s="894">
        <f t="shared" si="125"/>
        <v>0</v>
      </c>
      <c r="BO123" s="894">
        <f t="shared" ref="BO123:CT123" si="126">+BO121+BO122</f>
        <v>0</v>
      </c>
      <c r="BP123" s="894">
        <f t="shared" si="126"/>
        <v>0</v>
      </c>
      <c r="BQ123" s="894">
        <f t="shared" si="126"/>
        <v>0</v>
      </c>
      <c r="BR123" s="894">
        <f t="shared" si="126"/>
        <v>0</v>
      </c>
      <c r="BS123" s="894">
        <f t="shared" si="126"/>
        <v>0</v>
      </c>
      <c r="BT123" s="894">
        <f t="shared" si="126"/>
        <v>0</v>
      </c>
      <c r="BU123" s="894">
        <f t="shared" si="126"/>
        <v>0</v>
      </c>
      <c r="BV123" s="894">
        <f t="shared" si="126"/>
        <v>0</v>
      </c>
      <c r="BW123" s="894">
        <f t="shared" si="126"/>
        <v>0</v>
      </c>
      <c r="BX123" s="894">
        <f t="shared" si="126"/>
        <v>0</v>
      </c>
      <c r="BY123" s="894">
        <f t="shared" si="126"/>
        <v>0</v>
      </c>
      <c r="BZ123" s="894">
        <f t="shared" si="126"/>
        <v>0</v>
      </c>
      <c r="CA123" s="894">
        <f t="shared" si="126"/>
        <v>0</v>
      </c>
      <c r="CB123" s="894">
        <f t="shared" si="126"/>
        <v>0</v>
      </c>
      <c r="CC123" s="894">
        <f t="shared" si="126"/>
        <v>0</v>
      </c>
      <c r="CD123" s="894">
        <f t="shared" si="126"/>
        <v>0</v>
      </c>
      <c r="CE123" s="894">
        <f t="shared" si="126"/>
        <v>0</v>
      </c>
      <c r="CF123" s="894">
        <f t="shared" si="126"/>
        <v>0</v>
      </c>
      <c r="CG123" s="894">
        <f t="shared" si="126"/>
        <v>0</v>
      </c>
      <c r="CH123" s="894">
        <f t="shared" si="126"/>
        <v>0</v>
      </c>
      <c r="CI123" s="894">
        <f t="shared" si="126"/>
        <v>0</v>
      </c>
      <c r="CJ123" s="894">
        <f t="shared" si="126"/>
        <v>0</v>
      </c>
      <c r="CK123" s="894">
        <f t="shared" si="126"/>
        <v>0</v>
      </c>
      <c r="CL123" s="894">
        <f t="shared" si="126"/>
        <v>0</v>
      </c>
      <c r="CM123" s="894">
        <f t="shared" si="126"/>
        <v>0</v>
      </c>
      <c r="CN123" s="894">
        <f t="shared" si="126"/>
        <v>0</v>
      </c>
      <c r="CO123" s="894">
        <f t="shared" si="126"/>
        <v>0</v>
      </c>
      <c r="CP123" s="894">
        <f t="shared" si="126"/>
        <v>0</v>
      </c>
      <c r="CQ123" s="894">
        <f t="shared" si="126"/>
        <v>0</v>
      </c>
      <c r="CR123" s="894">
        <f t="shared" si="126"/>
        <v>0</v>
      </c>
      <c r="CS123" s="894">
        <f t="shared" si="126"/>
        <v>0</v>
      </c>
      <c r="CT123" s="894">
        <f t="shared" si="126"/>
        <v>0</v>
      </c>
    </row>
    <row r="124" spans="2:98" ht="12" thickBot="1">
      <c r="B124" s="917" t="s">
        <v>909</v>
      </c>
      <c r="C124" s="921"/>
      <c r="D124" s="921"/>
      <c r="E124" s="922"/>
      <c r="F124" s="921"/>
      <c r="G124" s="937"/>
      <c r="H124" s="937"/>
      <c r="I124" s="921"/>
      <c r="J124" s="921"/>
      <c r="K124" s="922"/>
      <c r="L124" s="921"/>
      <c r="M124" s="937"/>
      <c r="N124" s="937"/>
      <c r="O124" s="921"/>
      <c r="P124" s="921"/>
      <c r="Q124" s="922"/>
      <c r="R124" s="921"/>
      <c r="S124" s="937"/>
      <c r="T124" s="937"/>
      <c r="U124" s="921"/>
      <c r="V124" s="921"/>
      <c r="W124" s="922"/>
      <c r="X124" s="921"/>
      <c r="Y124" s="937"/>
      <c r="Z124" s="937"/>
      <c r="AA124" s="921"/>
      <c r="AB124" s="921"/>
      <c r="AC124" s="922"/>
      <c r="AD124" s="921"/>
      <c r="AE124" s="937"/>
      <c r="AF124" s="937"/>
      <c r="AG124" s="921"/>
      <c r="AH124" s="921"/>
      <c r="AI124" s="922"/>
      <c r="AJ124" s="921"/>
      <c r="AK124" s="937"/>
      <c r="AL124" s="937"/>
      <c r="AM124" s="921"/>
      <c r="AN124" s="921"/>
      <c r="AO124" s="922"/>
      <c r="AP124" s="921"/>
      <c r="AQ124" s="937"/>
      <c r="AR124" s="937"/>
      <c r="AS124" s="921"/>
      <c r="AT124" s="921"/>
      <c r="AU124" s="922"/>
      <c r="AV124" s="921"/>
      <c r="AW124" s="937"/>
      <c r="AX124" s="937"/>
      <c r="AY124" s="921"/>
      <c r="AZ124" s="921"/>
      <c r="BA124" s="922"/>
      <c r="BB124" s="921"/>
      <c r="BC124" s="937"/>
      <c r="BD124" s="937"/>
      <c r="BE124" s="921"/>
      <c r="BF124" s="923"/>
      <c r="BG124" s="922"/>
      <c r="BH124" s="921"/>
      <c r="BI124" s="937"/>
      <c r="BJ124" s="937"/>
      <c r="BK124" s="921"/>
      <c r="BL124" s="921"/>
      <c r="BM124" s="922"/>
      <c r="BN124" s="921"/>
      <c r="BO124" s="937"/>
      <c r="BP124" s="937"/>
      <c r="BQ124" s="921"/>
      <c r="BR124" s="921"/>
      <c r="BS124" s="922"/>
      <c r="BT124" s="921"/>
      <c r="BU124" s="937"/>
      <c r="BV124" s="937"/>
      <c r="BW124" s="921"/>
      <c r="BX124" s="921"/>
      <c r="BY124" s="922"/>
      <c r="BZ124" s="921"/>
      <c r="CA124" s="937"/>
      <c r="CB124" s="937"/>
      <c r="CC124" s="921"/>
      <c r="CD124" s="921"/>
      <c r="CE124" s="922"/>
      <c r="CF124" s="921"/>
      <c r="CG124" s="937"/>
      <c r="CH124" s="937"/>
      <c r="CI124" s="921"/>
      <c r="CJ124" s="921"/>
      <c r="CK124" s="922"/>
      <c r="CL124" s="921"/>
      <c r="CM124" s="937"/>
      <c r="CN124" s="937"/>
      <c r="CO124" s="921"/>
      <c r="CP124" s="921"/>
      <c r="CQ124" s="922"/>
      <c r="CR124" s="921"/>
      <c r="CS124" s="937"/>
      <c r="CT124" s="937"/>
    </row>
  </sheetData>
  <mergeCells count="112">
    <mergeCell ref="BK119:BP119"/>
    <mergeCell ref="BQ119:BV119"/>
    <mergeCell ref="BW102:CB102"/>
    <mergeCell ref="CC102:CH102"/>
    <mergeCell ref="CI102:CN102"/>
    <mergeCell ref="CO102:CT102"/>
    <mergeCell ref="C119:H119"/>
    <mergeCell ref="I119:N119"/>
    <mergeCell ref="O119:T119"/>
    <mergeCell ref="U119:Z119"/>
    <mergeCell ref="AA119:AF119"/>
    <mergeCell ref="AG119:AL119"/>
    <mergeCell ref="AM102:AR102"/>
    <mergeCell ref="AS102:AX102"/>
    <mergeCell ref="AY102:BD102"/>
    <mergeCell ref="BE102:BJ102"/>
    <mergeCell ref="BK102:BP102"/>
    <mergeCell ref="BQ102:BV102"/>
    <mergeCell ref="BW119:CB119"/>
    <mergeCell ref="CC119:CH119"/>
    <mergeCell ref="CI119:CN119"/>
    <mergeCell ref="CO119:CT119"/>
    <mergeCell ref="AM119:AR119"/>
    <mergeCell ref="AS119:AX119"/>
    <mergeCell ref="AY119:BD119"/>
    <mergeCell ref="BE119:BJ119"/>
    <mergeCell ref="C102:H102"/>
    <mergeCell ref="I102:N102"/>
    <mergeCell ref="O102:T102"/>
    <mergeCell ref="U102:Z102"/>
    <mergeCell ref="AA102:AF102"/>
    <mergeCell ref="AG102:AL102"/>
    <mergeCell ref="AM87:AR87"/>
    <mergeCell ref="AS87:AX87"/>
    <mergeCell ref="AY87:BD87"/>
    <mergeCell ref="CO76:CT76"/>
    <mergeCell ref="C87:H87"/>
    <mergeCell ref="I87:N87"/>
    <mergeCell ref="O87:T87"/>
    <mergeCell ref="U87:Z87"/>
    <mergeCell ref="AA87:AF87"/>
    <mergeCell ref="AG87:AL87"/>
    <mergeCell ref="AM76:AR76"/>
    <mergeCell ref="AS76:AX76"/>
    <mergeCell ref="AY76:BD76"/>
    <mergeCell ref="BE76:BJ76"/>
    <mergeCell ref="BK76:BP76"/>
    <mergeCell ref="BQ76:BV76"/>
    <mergeCell ref="BW87:CB87"/>
    <mergeCell ref="CC87:CH87"/>
    <mergeCell ref="CI87:CN87"/>
    <mergeCell ref="CO87:CT87"/>
    <mergeCell ref="BE87:BJ87"/>
    <mergeCell ref="BK87:BP87"/>
    <mergeCell ref="BQ87:BV87"/>
    <mergeCell ref="C76:H76"/>
    <mergeCell ref="I76:N76"/>
    <mergeCell ref="O76:T76"/>
    <mergeCell ref="U76:Z76"/>
    <mergeCell ref="AA76:AF76"/>
    <mergeCell ref="AG76:AL76"/>
    <mergeCell ref="AM68:AR68"/>
    <mergeCell ref="AS68:AX68"/>
    <mergeCell ref="AY68:BD68"/>
    <mergeCell ref="CI36:CN36"/>
    <mergeCell ref="BW76:CB76"/>
    <mergeCell ref="CC76:CH76"/>
    <mergeCell ref="CI76:CN76"/>
    <mergeCell ref="CO36:CT36"/>
    <mergeCell ref="C68:H68"/>
    <mergeCell ref="I68:N68"/>
    <mergeCell ref="O68:T68"/>
    <mergeCell ref="U68:Z68"/>
    <mergeCell ref="AA68:AF68"/>
    <mergeCell ref="AG68:AL68"/>
    <mergeCell ref="AM36:AR36"/>
    <mergeCell ref="AS36:AX36"/>
    <mergeCell ref="AY36:BD36"/>
    <mergeCell ref="BE36:BJ36"/>
    <mergeCell ref="BK36:BP36"/>
    <mergeCell ref="BQ36:BV36"/>
    <mergeCell ref="BW68:CB68"/>
    <mergeCell ref="CC68:CH68"/>
    <mergeCell ref="CI68:CN68"/>
    <mergeCell ref="CO68:CT68"/>
    <mergeCell ref="BE68:BJ68"/>
    <mergeCell ref="BK68:BP68"/>
    <mergeCell ref="BQ68:BV68"/>
    <mergeCell ref="BW4:CB4"/>
    <mergeCell ref="CC4:CH4"/>
    <mergeCell ref="CI4:CN4"/>
    <mergeCell ref="CO4:CT4"/>
    <mergeCell ref="C36:H36"/>
    <mergeCell ref="I36:N36"/>
    <mergeCell ref="O36:T36"/>
    <mergeCell ref="U36:Z36"/>
    <mergeCell ref="AA36:AF36"/>
    <mergeCell ref="AG36:AL36"/>
    <mergeCell ref="AM4:AR4"/>
    <mergeCell ref="AS4:AX4"/>
    <mergeCell ref="AY4:BD4"/>
    <mergeCell ref="BE4:BJ4"/>
    <mergeCell ref="BK4:BP4"/>
    <mergeCell ref="BQ4:BV4"/>
    <mergeCell ref="C4:H4"/>
    <mergeCell ref="I4:N4"/>
    <mergeCell ref="O4:T4"/>
    <mergeCell ref="U4:Z4"/>
    <mergeCell ref="AA4:AF4"/>
    <mergeCell ref="AG4:AL4"/>
    <mergeCell ref="BW36:CB36"/>
    <mergeCell ref="CC36:CH36"/>
  </mergeCells>
  <printOptions gridLines="1"/>
  <pageMargins left="0.55118110236220474" right="0.59055118110236227" top="0.59055118110236227" bottom="0.59055118110236227"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workbookViewId="0">
      <selection activeCell="B6" sqref="B6"/>
    </sheetView>
  </sheetViews>
  <sheetFormatPr defaultRowHeight="12.75"/>
  <cols>
    <col min="1" max="1" width="39.7109375" customWidth="1"/>
    <col min="2" max="2" width="19" customWidth="1"/>
  </cols>
  <sheetData>
    <row r="1" spans="1:4">
      <c r="A1" s="881" t="s">
        <v>1286</v>
      </c>
      <c r="B1" s="881"/>
    </row>
    <row r="2" spans="1:4">
      <c r="A2" s="881" t="s">
        <v>1322</v>
      </c>
      <c r="B2" s="881"/>
    </row>
    <row r="3" spans="1:4">
      <c r="A3" s="881" t="s">
        <v>1323</v>
      </c>
      <c r="B3" s="881"/>
    </row>
    <row r="5" spans="1:4" ht="15.75">
      <c r="A5" s="985" t="s">
        <v>77</v>
      </c>
      <c r="B5" s="985"/>
      <c r="C5" s="883"/>
      <c r="D5" s="883"/>
    </row>
    <row r="6" spans="1:4" ht="31.5">
      <c r="A6" s="982" t="s">
        <v>1324</v>
      </c>
      <c r="B6" s="883"/>
      <c r="C6" s="883"/>
      <c r="D6" s="883"/>
    </row>
    <row r="7" spans="1:4" ht="15.75">
      <c r="A7" s="883"/>
      <c r="B7" s="883"/>
      <c r="C7" s="883"/>
      <c r="D7" s="883"/>
    </row>
    <row r="8" spans="1:4" ht="15.75">
      <c r="A8" s="883"/>
      <c r="B8" s="883"/>
      <c r="C8" s="883"/>
      <c r="D8" s="883"/>
    </row>
    <row r="9" spans="1:4" ht="15.75">
      <c r="A9" s="883"/>
      <c r="B9" s="883"/>
      <c r="C9" s="883"/>
      <c r="D9" s="883"/>
    </row>
    <row r="10" spans="1:4" ht="15.75">
      <c r="A10" s="883"/>
      <c r="B10" s="883"/>
      <c r="C10" s="883"/>
      <c r="D10" s="883"/>
    </row>
    <row r="11" spans="1:4" ht="15.75">
      <c r="A11" s="883"/>
      <c r="B11" s="883"/>
      <c r="C11" s="883"/>
      <c r="D11" s="883"/>
    </row>
    <row r="12" spans="1:4" ht="15.75">
      <c r="A12" s="883"/>
      <c r="B12" s="883"/>
      <c r="C12" s="883"/>
      <c r="D12" s="883"/>
    </row>
    <row r="13" spans="1:4" ht="15.75">
      <c r="A13" s="883"/>
      <c r="B13" s="883"/>
      <c r="C13" s="883"/>
      <c r="D13" s="883"/>
    </row>
    <row r="14" spans="1:4" ht="15.75">
      <c r="A14" s="883"/>
      <c r="B14" s="883"/>
      <c r="C14" s="883"/>
      <c r="D14" s="883"/>
    </row>
    <row r="15" spans="1:4" ht="15.75">
      <c r="A15" s="883"/>
      <c r="B15" s="883"/>
      <c r="C15" s="883"/>
      <c r="D15" s="883"/>
    </row>
    <row r="16" spans="1:4" ht="15.75">
      <c r="A16" s="883"/>
      <c r="B16" s="883"/>
      <c r="C16" s="883"/>
      <c r="D16" s="883"/>
    </row>
    <row r="17" spans="1:4" ht="15.75">
      <c r="A17" s="883"/>
      <c r="B17" s="883"/>
      <c r="C17" s="883"/>
      <c r="D17" s="883"/>
    </row>
    <row r="18" spans="1:4" ht="15.75">
      <c r="A18" s="883"/>
      <c r="B18" s="883"/>
      <c r="C18" s="883"/>
      <c r="D18" s="883"/>
    </row>
    <row r="19" spans="1:4" ht="15.75">
      <c r="A19" s="883"/>
      <c r="B19" s="883"/>
      <c r="C19" s="883"/>
      <c r="D19" s="883"/>
    </row>
  </sheetData>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D10" sqref="D10"/>
    </sheetView>
  </sheetViews>
  <sheetFormatPr defaultRowHeight="12.75"/>
  <cols>
    <col min="1" max="1" width="65.140625" customWidth="1"/>
    <col min="2" max="2" width="18.140625" customWidth="1"/>
  </cols>
  <sheetData>
    <row r="1" spans="1:6" ht="15.75">
      <c r="A1" s="985" t="s">
        <v>381</v>
      </c>
      <c r="B1" s="883"/>
      <c r="C1" s="883"/>
      <c r="D1" s="883"/>
      <c r="E1" s="883"/>
      <c r="F1" s="883"/>
    </row>
    <row r="2" spans="1:6" ht="15.75">
      <c r="A2" s="985" t="s">
        <v>1326</v>
      </c>
      <c r="B2" s="883"/>
      <c r="C2" s="883"/>
      <c r="D2" s="883"/>
      <c r="E2" s="883"/>
      <c r="F2" s="883"/>
    </row>
    <row r="3" spans="1:6" ht="15.75">
      <c r="A3" s="985" t="s">
        <v>1327</v>
      </c>
      <c r="B3" s="883"/>
      <c r="C3" s="883"/>
      <c r="D3" s="883"/>
      <c r="E3" s="883"/>
      <c r="F3" s="883"/>
    </row>
    <row r="5" spans="1:6" ht="15.75">
      <c r="A5" s="993" t="s">
        <v>77</v>
      </c>
      <c r="B5" s="994" t="s">
        <v>1328</v>
      </c>
    </row>
    <row r="6" spans="1:6" ht="15.75">
      <c r="A6" s="969" t="s">
        <v>1329</v>
      </c>
      <c r="B6" s="1016" t="e">
        <f>#REF!</f>
        <v>#REF!</v>
      </c>
    </row>
    <row r="7" spans="1:6" ht="15.75">
      <c r="A7" s="973" t="s">
        <v>1333</v>
      </c>
      <c r="B7" s="989">
        <v>5</v>
      </c>
    </row>
    <row r="8" spans="1:6" ht="15.75">
      <c r="A8" s="973" t="s">
        <v>1332</v>
      </c>
      <c r="B8" s="990">
        <v>41926</v>
      </c>
    </row>
    <row r="9" spans="1:6" ht="15.75">
      <c r="A9" s="973" t="s">
        <v>1334</v>
      </c>
      <c r="B9" s="991">
        <v>4</v>
      </c>
    </row>
    <row r="10" spans="1:6" ht="15.75">
      <c r="A10" s="973" t="s">
        <v>1335</v>
      </c>
      <c r="B10" s="1016" t="e">
        <f>(B6/B7)*B9</f>
        <v>#REF!</v>
      </c>
    </row>
    <row r="11" spans="1:6" ht="15.75">
      <c r="A11" s="969" t="s">
        <v>1330</v>
      </c>
      <c r="B11" s="992">
        <v>42094</v>
      </c>
    </row>
    <row r="12" spans="1:6" ht="15.75">
      <c r="A12" s="973" t="s">
        <v>1331</v>
      </c>
      <c r="B12" s="969">
        <f>B11-B8</f>
        <v>168</v>
      </c>
    </row>
    <row r="13" spans="1:6" ht="15.75">
      <c r="A13" s="995" t="s">
        <v>1327</v>
      </c>
      <c r="B13" s="996" t="e">
        <f>(B10/365)*B12</f>
        <v>#REF!</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12</vt:i4>
      </vt:variant>
    </vt:vector>
  </HeadingPairs>
  <TitlesOfParts>
    <vt:vector size="34" baseType="lpstr">
      <vt:lpstr>B_S &amp; Notes 11-12</vt:lpstr>
      <vt:lpstr>BS. &amp; Notes 2012-13</vt:lpstr>
      <vt:lpstr>BS</vt:lpstr>
      <vt:lpstr>BS &amp; Notes 2014-15</vt:lpstr>
      <vt:lpstr>B_S &amp; Notes (O)</vt:lpstr>
      <vt:lpstr>BS &amp; Notes 2013-14</vt:lpstr>
      <vt:lpstr>BS (I GAAP)</vt:lpstr>
      <vt:lpstr>BS &amp; Notes 2010-11</vt:lpstr>
      <vt:lpstr>RESERVE &amp; SURPLUS MILLIION</vt:lpstr>
      <vt:lpstr>cash flow statement</vt:lpstr>
      <vt:lpstr>Assets</vt:lpstr>
      <vt:lpstr>PRP &amp; PRMBS</vt:lpstr>
      <vt:lpstr>Sheet1</vt:lpstr>
      <vt:lpstr>points</vt:lpstr>
      <vt:lpstr>Transition BS</vt:lpstr>
      <vt:lpstr>PPE</vt:lpstr>
      <vt:lpstr>Notes</vt:lpstr>
      <vt:lpstr>Changes in Equity</vt:lpstr>
      <vt:lpstr>FA Schedule I GAAP</vt:lpstr>
      <vt:lpstr>Assets (2)</vt:lpstr>
      <vt:lpstr>Sheet2</vt:lpstr>
      <vt:lpstr>Investment prop</vt:lpstr>
      <vt:lpstr>'B_S &amp; Notes (O)'!Print_Area</vt:lpstr>
      <vt:lpstr>'B_S &amp; Notes 11-12'!Print_Area</vt:lpstr>
      <vt:lpstr>'Changes in Equity'!Print_Area</vt:lpstr>
      <vt:lpstr>'FA Schedule I GAAP'!Print_Area</vt:lpstr>
      <vt:lpstr>Notes!Print_Area</vt:lpstr>
      <vt:lpstr>points!Print_Area</vt:lpstr>
      <vt:lpstr>PPE!Print_Area</vt:lpstr>
      <vt:lpstr>'Transition BS'!Print_Area</vt:lpstr>
      <vt:lpstr>'BS &amp; Notes 2010-11'!Print_Titles</vt:lpstr>
      <vt:lpstr>'BS &amp; Notes 2013-14'!Print_Titles</vt:lpstr>
      <vt:lpstr>'BS &amp; Notes 2014-15'!Print_Titles</vt:lpstr>
      <vt:lpstr>'BS. &amp; Notes 2012-13'!Print_Titles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CS karki</cp:lastModifiedBy>
  <cp:lastPrinted>2017-04-04T13:58:45Z</cp:lastPrinted>
  <dcterms:created xsi:type="dcterms:W3CDTF">2016-06-14T05:51:45Z</dcterms:created>
  <dcterms:modified xsi:type="dcterms:W3CDTF">2017-06-23T09:00:49Z</dcterms:modified>
</cp:coreProperties>
</file>